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oku" sheetId="1" r:id="rId4"/>
    <sheet state="hidden" name="Data" sheetId="2" r:id="rId5"/>
    <sheet state="visible" name="Nennliste" sheetId="3" r:id="rId6"/>
    <sheet state="visible" name="Import" sheetId="4" r:id="rId7"/>
    <sheet state="visible" name="Seeding" sheetId="5" r:id="rId8"/>
    <sheet state="visible" name="Pools" sheetId="6" r:id="rId9"/>
    <sheet state="visible" name="PoolMatches" sheetId="7" r:id="rId10"/>
    <sheet state="visible" name="PoolStandings" sheetId="8" r:id="rId11"/>
    <sheet state="visible" name="Draws" sheetId="9" r:id="rId12"/>
    <sheet state="visible" name="ElimMatches" sheetId="10" r:id="rId13"/>
    <sheet state="visible" name="Bracket" sheetId="11" r:id="rId14"/>
    <sheet state="visible" name="Result" sheetId="12" r:id="rId15"/>
  </sheets>
  <definedNames>
    <definedName hidden="1" localSheetId="3" name="_xlnm._FilterDatabase">Import!$A$1:$D$29</definedName>
  </definedNames>
  <calcPr/>
  <extLst>
    <ext uri="GoogleSheetsCustomDataVersion2">
      <go:sheetsCustomData xmlns:go="http://customooxmlschemas.google.com/" r:id="rId16" roundtripDataChecksum="wKnHRvcmvvARW+bDhcH2yXCY/JAM8Vn1XyQGplrw+G4="/>
    </ext>
  </extLst>
</workbook>
</file>

<file path=xl/sharedStrings.xml><?xml version="1.0" encoding="utf-8"?>
<sst xmlns="http://schemas.openxmlformats.org/spreadsheetml/2006/main" count="655" uniqueCount="297">
  <si>
    <r>
      <rPr>
        <rFont val="Calibri"/>
        <i/>
        <color theme="1"/>
        <sz val="11.0"/>
      </rPr>
      <t>Import:</t>
    </r>
    <r>
      <rPr>
        <rFont val="Calibri"/>
        <color theme="1"/>
        <sz val="11.0"/>
      </rPr>
      <t xml:space="preserve"> Die blauen Felder von Hand befüllen (Entry Points Team optional zu befüllen)
Eingabe Wildcard mit "Ja"</t>
    </r>
  </si>
  <si>
    <r>
      <rPr>
        <rFont val="Calibri"/>
        <color theme="1"/>
        <sz val="11.0"/>
      </rPr>
      <t xml:space="preserve">evtl. </t>
    </r>
    <r>
      <rPr>
        <rFont val="Calibri"/>
        <i/>
        <color theme="1"/>
        <sz val="11.0"/>
      </rPr>
      <t xml:space="preserve">Import </t>
    </r>
    <r>
      <rPr>
        <rFont val="Calibri"/>
        <color theme="1"/>
        <sz val="11.0"/>
      </rPr>
      <t>nach Seed sortieren</t>
    </r>
  </si>
  <si>
    <r>
      <rPr>
        <rFont val="Calibri"/>
        <i/>
        <color theme="1"/>
        <sz val="11.0"/>
      </rPr>
      <t>Seeding</t>
    </r>
    <r>
      <rPr>
        <rFont val="Calibri"/>
        <color theme="1"/>
        <sz val="11.0"/>
      </rPr>
      <t xml:space="preserve"> und </t>
    </r>
    <r>
      <rPr>
        <rFont val="Calibri"/>
        <i/>
        <color theme="1"/>
        <sz val="11.0"/>
      </rPr>
      <t>Pools</t>
    </r>
    <r>
      <rPr>
        <rFont val="Calibri"/>
        <color theme="1"/>
        <sz val="11.0"/>
      </rPr>
      <t xml:space="preserve"> generieren sich automatisch</t>
    </r>
  </si>
  <si>
    <t>Seed 21 bis Seed 24 sind mit Q (=Qualifikanten) vorgegeben, wenn kein Qualifikations-
turnier =&gt; löschen</t>
  </si>
  <si>
    <r>
      <rPr>
        <rFont val="Calibri"/>
        <i/>
        <color theme="1"/>
        <sz val="11.0"/>
      </rPr>
      <t xml:space="preserve">Pool Matches: </t>
    </r>
    <r>
      <rPr>
        <rFont val="Calibri"/>
        <color theme="1"/>
        <sz val="11.0"/>
      </rPr>
      <t>nach jedem Spiel Ergebnis eintragen</t>
    </r>
  </si>
  <si>
    <t>Nur die blauen Felder befüllen!</t>
  </si>
  <si>
    <r>
      <rPr>
        <rFont val="Calibri"/>
        <i/>
        <color theme="1"/>
        <sz val="11.0"/>
      </rPr>
      <t>Draws:</t>
    </r>
    <r>
      <rPr>
        <rFont val="Calibri"/>
        <color theme="1"/>
        <sz val="11.0"/>
      </rPr>
      <t xml:space="preserve"> Draws durchführen lt. FIVB Sports Regulations </t>
    </r>
  </si>
  <si>
    <t>Seed 1: bester 1. Grp. A/B 
Seed 2: schlechtester 1. Grp. A/B (beide Teams werden automatisch generiert)</t>
  </si>
  <si>
    <t>In der Spalte "Order of Draw" ist die Reihenfolge der Ziehung und die Setzung der gezogenen Teams inkl. welches Spiel gelost wurde bereits vorgegeben!</t>
  </si>
  <si>
    <t>Die farbigen Felder (Team) von Hand befüllen oder Teamnamen kopieren!</t>
  </si>
  <si>
    <t>Teamnamen der beiden schlechtesten Gruppendritten in gelbe Felder kopieren!</t>
  </si>
  <si>
    <r>
      <rPr>
        <rFont val="Calibri"/>
        <i/>
        <color theme="1"/>
        <sz val="11.0"/>
      </rPr>
      <t>Elimination Matches</t>
    </r>
    <r>
      <rPr>
        <rFont val="Calibri"/>
        <color theme="1"/>
        <sz val="11.0"/>
      </rPr>
      <t xml:space="preserve"> und </t>
    </r>
    <r>
      <rPr>
        <rFont val="Calibri"/>
        <i/>
        <color theme="1"/>
        <sz val="11.0"/>
      </rPr>
      <t>Bracket</t>
    </r>
    <r>
      <rPr>
        <rFont val="Calibri"/>
        <color theme="1"/>
        <sz val="11.0"/>
      </rPr>
      <t xml:space="preserve"> werden generiert</t>
    </r>
  </si>
  <si>
    <r>
      <rPr>
        <rFont val="Calibri"/>
        <i/>
        <color theme="1"/>
        <sz val="11.0"/>
      </rPr>
      <t xml:space="preserve">ElimMatches: </t>
    </r>
    <r>
      <rPr>
        <rFont val="Calibri"/>
        <color theme="1"/>
        <sz val="11.0"/>
      </rPr>
      <t>nach jedem Spiel eintragen</t>
    </r>
  </si>
  <si>
    <r>
      <rPr>
        <rFont val="Calibri"/>
        <i/>
        <color theme="1"/>
        <sz val="11.0"/>
      </rPr>
      <t xml:space="preserve">Result </t>
    </r>
    <r>
      <rPr>
        <rFont val="Calibri"/>
        <color theme="1"/>
        <sz val="11.0"/>
      </rPr>
      <t>zeigt die endgültigen Platzierungen</t>
    </r>
  </si>
  <si>
    <t>Beach Volleyball-Referat: Christian Lick</t>
  </si>
  <si>
    <t xml:space="preserve">E-Mail: beachreferat@volleynet.at </t>
  </si>
  <si>
    <t>Telefon: +43660 689 57 34 (Do 14-18, Fr 12-16 Uhr)</t>
  </si>
  <si>
    <t>Setzliste</t>
  </si>
  <si>
    <t>spacer ?</t>
  </si>
  <si>
    <t>Nr.</t>
  </si>
  <si>
    <t>Spieler</t>
  </si>
  <si>
    <t>Liz.</t>
  </si>
  <si>
    <t>LV</t>
  </si>
  <si>
    <t>Punkte</t>
  </si>
  <si>
    <t>Gesamt Punkte</t>
  </si>
  <si>
    <t>Meldung</t>
  </si>
  <si>
    <t>BAUER Astrid</t>
  </si>
  <si>
    <t>NÖVV</t>
  </si>
  <si>
    <t>BAUER</t>
  </si>
  <si>
    <t>Astrid</t>
  </si>
  <si>
    <t>HASELSTEINER</t>
  </si>
  <si>
    <t>Sophie</t>
  </si>
  <si>
    <t>HASELSTEINER Sophie</t>
  </si>
  <si>
    <t>ELSNER Karin</t>
  </si>
  <si>
    <t>WVV</t>
  </si>
  <si>
    <t>ELSNER</t>
  </si>
  <si>
    <t>Karin</t>
  </si>
  <si>
    <t>PFAU</t>
  </si>
  <si>
    <t>Jennifer</t>
  </si>
  <si>
    <t>PFAU Jennifer</t>
  </si>
  <si>
    <t>HOFSTETTER Anja</t>
  </si>
  <si>
    <t>HOFSTETTER</t>
  </si>
  <si>
    <t>Anja</t>
  </si>
  <si>
    <t>SHKARUPA</t>
  </si>
  <si>
    <t>Oleksandra</t>
  </si>
  <si>
    <t>SHKARUPA Oleksandra</t>
  </si>
  <si>
    <t>KREMSER Rebekka Maria</t>
  </si>
  <si>
    <t>KREMSER</t>
  </si>
  <si>
    <t>Rebekka Maria</t>
  </si>
  <si>
    <t>MASCHERBAUER</t>
  </si>
  <si>
    <t>Katharina</t>
  </si>
  <si>
    <t>MASCHERBAUER Katharina</t>
  </si>
  <si>
    <t>TVV</t>
  </si>
  <si>
    <t>BISANZ Saskia</t>
  </si>
  <si>
    <t>BISANZ</t>
  </si>
  <si>
    <t>Saskia</t>
  </si>
  <si>
    <t>HAMMARBERG</t>
  </si>
  <si>
    <t>Anna</t>
  </si>
  <si>
    <t>HAMMARBERG Anna</t>
  </si>
  <si>
    <t>SCHLAX Larissa Christine</t>
  </si>
  <si>
    <t>SCHLAX</t>
  </si>
  <si>
    <t>Larissa Christine</t>
  </si>
  <si>
    <t>WAGNER</t>
  </si>
  <si>
    <t>Agnes</t>
  </si>
  <si>
    <t>WAGNER Agnes</t>
  </si>
  <si>
    <t>HOCHREITER Anita</t>
  </si>
  <si>
    <t>STVV</t>
  </si>
  <si>
    <t>HOCHREITER</t>
  </si>
  <si>
    <t>Anita</t>
  </si>
  <si>
    <t>WINDISCH</t>
  </si>
  <si>
    <t>Kerstin</t>
  </si>
  <si>
    <t>WINDISCH Kerstin</t>
  </si>
  <si>
    <t>PANY Alexandra</t>
  </si>
  <si>
    <t>PANY</t>
  </si>
  <si>
    <t>Alexandra</t>
  </si>
  <si>
    <t>PALENCZAT</t>
  </si>
  <si>
    <t>Luise</t>
  </si>
  <si>
    <t>PALENCZAT Luise</t>
  </si>
  <si>
    <t>PARKANYI Adrienn</t>
  </si>
  <si>
    <t>PARKANYI</t>
  </si>
  <si>
    <t>Adrienn</t>
  </si>
  <si>
    <t>FAVARETTO</t>
  </si>
  <si>
    <t>Martina</t>
  </si>
  <si>
    <t>FAVARETTO Martina</t>
  </si>
  <si>
    <t>BOYD Alisa Zoe</t>
  </si>
  <si>
    <t>KVV</t>
  </si>
  <si>
    <t>BOYD</t>
  </si>
  <si>
    <t>Alisa Zoe</t>
  </si>
  <si>
    <t>STEGMÜLLER</t>
  </si>
  <si>
    <t>Franziska Antonia</t>
  </si>
  <si>
    <t>STEGMÜLLER Franziska Antonia</t>
  </si>
  <si>
    <t>HEISZENBERGER Elisabeth</t>
  </si>
  <si>
    <t>HEISZENBERGER</t>
  </si>
  <si>
    <t>Elisabeth</t>
  </si>
  <si>
    <t>WAJDA</t>
  </si>
  <si>
    <t>Aleksandra</t>
  </si>
  <si>
    <t>WAJDA Aleksandra</t>
  </si>
  <si>
    <t>HAGER Klara</t>
  </si>
  <si>
    <t>HAGER</t>
  </si>
  <si>
    <t>Klara</t>
  </si>
  <si>
    <t>WICHO</t>
  </si>
  <si>
    <t>Valerie</t>
  </si>
  <si>
    <t>WICHO Valerie</t>
  </si>
  <si>
    <t>SZUDA Zsanett</t>
  </si>
  <si>
    <t>SZUDA</t>
  </si>
  <si>
    <t>Zsanett</t>
  </si>
  <si>
    <t>STÜRZ</t>
  </si>
  <si>
    <t>Maria</t>
  </si>
  <si>
    <t>STÜRZ Maria</t>
  </si>
  <si>
    <t>TRIBELNIG Marlene</t>
  </si>
  <si>
    <t>TRIBELNIG</t>
  </si>
  <si>
    <t>Marlene</t>
  </si>
  <si>
    <t>WEINDL</t>
  </si>
  <si>
    <t>Lisa</t>
  </si>
  <si>
    <t>WEINDL Lisa</t>
  </si>
  <si>
    <t>MATĚJKOVÁ Kateřina</t>
  </si>
  <si>
    <t>MATĚJKOVÁ</t>
  </si>
  <si>
    <t>Kateřina</t>
  </si>
  <si>
    <t>SANCHEZ</t>
  </si>
  <si>
    <t>Milla Marjukka</t>
  </si>
  <si>
    <t>SANCHEZ Milla Marjukka</t>
  </si>
  <si>
    <t>YESSIMOVA Aislu</t>
  </si>
  <si>
    <t>YESSIMOVA</t>
  </si>
  <si>
    <t>Aislu</t>
  </si>
  <si>
    <t>GLANNINGER</t>
  </si>
  <si>
    <t>Jana Charlotte</t>
  </si>
  <si>
    <t>GLANNINGER Jana Charlotte</t>
  </si>
  <si>
    <t>PAUMANN Mia</t>
  </si>
  <si>
    <t>PAUMANN</t>
  </si>
  <si>
    <t>Mia</t>
  </si>
  <si>
    <t>ANGERER</t>
  </si>
  <si>
    <t>Leonie</t>
  </si>
  <si>
    <t>ANGERER Leonie</t>
  </si>
  <si>
    <t>BEYER Eva</t>
  </si>
  <si>
    <t>BEYER</t>
  </si>
  <si>
    <t>Eva</t>
  </si>
  <si>
    <t>SCHINAGL</t>
  </si>
  <si>
    <t>Annika</t>
  </si>
  <si>
    <t>SCHINAGL Annika</t>
  </si>
  <si>
    <t>FERSTL-SCHMID Helena Inka</t>
  </si>
  <si>
    <t>FERSTL-SCHMID</t>
  </si>
  <si>
    <t>Helena Inka</t>
  </si>
  <si>
    <t>AIGNER</t>
  </si>
  <si>
    <t>Laura</t>
  </si>
  <si>
    <t>AIGNER Laura</t>
  </si>
  <si>
    <t>HAYDN Flora</t>
  </si>
  <si>
    <t>HAYDN</t>
  </si>
  <si>
    <t>Flora</t>
  </si>
  <si>
    <t>DÜRNITZHOFER</t>
  </si>
  <si>
    <t>Zoe</t>
  </si>
  <si>
    <t>DÜRNITZHOFER Zoe</t>
  </si>
  <si>
    <t>MARK Johanna</t>
  </si>
  <si>
    <t>MARK</t>
  </si>
  <si>
    <t>Johanna</t>
  </si>
  <si>
    <t>WOLF</t>
  </si>
  <si>
    <t>Lea Katharina</t>
  </si>
  <si>
    <t>WOLF Lea Katharina</t>
  </si>
  <si>
    <t>PICHLER Florentina</t>
  </si>
  <si>
    <t>PICHLER</t>
  </si>
  <si>
    <t>Florentina</t>
  </si>
  <si>
    <t>GRAF</t>
  </si>
  <si>
    <t>Viktoria</t>
  </si>
  <si>
    <t>GRAF Viktoria</t>
  </si>
  <si>
    <t>GIFFINGER Anna</t>
  </si>
  <si>
    <t>GIFFINGER</t>
  </si>
  <si>
    <t>FREY</t>
  </si>
  <si>
    <t>Isabella</t>
  </si>
  <si>
    <t>FREY Isabella</t>
  </si>
  <si>
    <t>SCHENK Anna Magdalena</t>
  </si>
  <si>
    <t>SCHENK</t>
  </si>
  <si>
    <t>Anna Magdalena</t>
  </si>
  <si>
    <t>SCHWARZ</t>
  </si>
  <si>
    <t>Melanie</t>
  </si>
  <si>
    <t>SCHWARZ Melanie</t>
  </si>
  <si>
    <t>PRINZHORN Nike</t>
  </si>
  <si>
    <t>PRINZHORN</t>
  </si>
  <si>
    <t>Nike</t>
  </si>
  <si>
    <t>SALLMANNSHOFER</t>
  </si>
  <si>
    <t>SALLMANNSHOFER Anja</t>
  </si>
  <si>
    <t>KAMIENIARZ Louisa</t>
  </si>
  <si>
    <t>KAMIENIARZ</t>
  </si>
  <si>
    <t>Louisa</t>
  </si>
  <si>
    <t>SAMS</t>
  </si>
  <si>
    <t>Nina</t>
  </si>
  <si>
    <t>SAMS Nina</t>
  </si>
  <si>
    <t>OÖVV</t>
  </si>
  <si>
    <t>MACINKOVIC Marlene</t>
  </si>
  <si>
    <t>MACINKOVIC</t>
  </si>
  <si>
    <t>WAGNER Eva</t>
  </si>
  <si>
    <t>SCHUSTER Caroline</t>
  </si>
  <si>
    <t>SCHUSTER</t>
  </si>
  <si>
    <t>Caroline</t>
  </si>
  <si>
    <t>MASSIN</t>
  </si>
  <si>
    <t>Marion</t>
  </si>
  <si>
    <t>MASSIN Marion</t>
  </si>
  <si>
    <t>Beachvolleyclub Wien Amateur 1 Damen</t>
  </si>
  <si>
    <t>Setzung</t>
  </si>
  <si>
    <t>Spieler 1</t>
  </si>
  <si>
    <t>Spieler 2</t>
  </si>
  <si>
    <t>NAME</t>
  </si>
  <si>
    <t>Country</t>
  </si>
  <si>
    <t>Teamname</t>
  </si>
  <si>
    <t>Seed
Main Draw</t>
  </si>
  <si>
    <t>Entry Points 
Team</t>
  </si>
  <si>
    <t>Wild Card 
(ÖVV/Organizer/
Foreign)</t>
  </si>
  <si>
    <t>AUT</t>
  </si>
  <si>
    <t>Seed</t>
  </si>
  <si>
    <t>WC/Q</t>
  </si>
  <si>
    <t>Team</t>
  </si>
  <si>
    <t>Damen</t>
  </si>
  <si>
    <t>Pool A</t>
  </si>
  <si>
    <t>Pool B</t>
  </si>
  <si>
    <t>Pool C</t>
  </si>
  <si>
    <t>Pool D</t>
  </si>
  <si>
    <t>Pool E</t>
  </si>
  <si>
    <t>Pool F</t>
  </si>
  <si>
    <t>Pool G</t>
  </si>
  <si>
    <t>Match Number</t>
  </si>
  <si>
    <t>Pool</t>
  </si>
  <si>
    <t>Team A</t>
  </si>
  <si>
    <t>Sets</t>
  </si>
  <si>
    <t>Set1</t>
  </si>
  <si>
    <t>Set2</t>
  </si>
  <si>
    <t>Set3</t>
  </si>
  <si>
    <t>Court</t>
  </si>
  <si>
    <t>Referee</t>
  </si>
  <si>
    <t>Date/Time</t>
  </si>
  <si>
    <t>Duration(min)</t>
  </si>
  <si>
    <t>Winner</t>
  </si>
  <si>
    <t>Loser</t>
  </si>
  <si>
    <t>C1</t>
  </si>
  <si>
    <t>C5</t>
  </si>
  <si>
    <t>W1</t>
  </si>
  <si>
    <t>W3</t>
  </si>
  <si>
    <t>Pos</t>
  </si>
  <si>
    <t>Games won</t>
  </si>
  <si>
    <t>Games lost</t>
  </si>
  <si>
    <t>Sets won</t>
  </si>
  <si>
    <t>Sets lost</t>
  </si>
  <si>
    <t>Sets ratio</t>
  </si>
  <si>
    <t>Points won</t>
  </si>
  <si>
    <t>Points lost</t>
  </si>
  <si>
    <t>Points ratio</t>
  </si>
  <si>
    <t>A</t>
  </si>
  <si>
    <t>B</t>
  </si>
  <si>
    <t>C</t>
  </si>
  <si>
    <t>D</t>
  </si>
  <si>
    <t>E</t>
  </si>
  <si>
    <t>F</t>
  </si>
  <si>
    <t>G</t>
  </si>
  <si>
    <t>Pool Results</t>
  </si>
  <si>
    <t>Point Ratio</t>
  </si>
  <si>
    <t>Rank</t>
  </si>
  <si>
    <t>Correction Tie</t>
  </si>
  <si>
    <t>Order of Draw</t>
  </si>
  <si>
    <t>goes to</t>
  </si>
  <si>
    <t>Seed #1</t>
  </si>
  <si>
    <t>Match #41</t>
  </si>
  <si>
    <t>Seed #2</t>
  </si>
  <si>
    <t>Match #48</t>
  </si>
  <si>
    <t>Seed #3</t>
  </si>
  <si>
    <t>Match #44</t>
  </si>
  <si>
    <t>Seed #4</t>
  </si>
  <si>
    <t>Match #45</t>
  </si>
  <si>
    <t>Seed #5</t>
  </si>
  <si>
    <t>Match #21</t>
  </si>
  <si>
    <t>Seed #6</t>
  </si>
  <si>
    <t>Match #24</t>
  </si>
  <si>
    <t>Seed #7</t>
  </si>
  <si>
    <t>Match #47</t>
  </si>
  <si>
    <t>Bester 2.</t>
  </si>
  <si>
    <t>Seed #8</t>
  </si>
  <si>
    <t>Match #42</t>
  </si>
  <si>
    <t>Übrige Gruppenzweite</t>
  </si>
  <si>
    <t>Match #29</t>
  </si>
  <si>
    <t>Match #30</t>
  </si>
  <si>
    <t>Match #31</t>
  </si>
  <si>
    <t>Match #32</t>
  </si>
  <si>
    <t>Match #33</t>
  </si>
  <si>
    <t>Match #34</t>
  </si>
  <si>
    <t>Beste Gruppendritte</t>
  </si>
  <si>
    <t>Match #35</t>
  </si>
  <si>
    <t>Match #36</t>
  </si>
  <si>
    <t>Übrige Gruppendritte</t>
  </si>
  <si>
    <t>Beste Gruppenvierte</t>
  </si>
  <si>
    <t>Die schlechtesten 4 scheiden aus</t>
  </si>
  <si>
    <t>Loser ranked 17</t>
  </si>
  <si>
    <t>Loser ranked 9</t>
  </si>
  <si>
    <t>w.o.</t>
  </si>
  <si>
    <t>Loser ranked 5</t>
  </si>
  <si>
    <t>Semifinals</t>
  </si>
  <si>
    <t>Bronze</t>
  </si>
  <si>
    <t>Gold</t>
  </si>
  <si>
    <t>Looser Ranked 17</t>
  </si>
  <si>
    <t>Loser Ranked 9</t>
  </si>
  <si>
    <t>Loser Ranked 5</t>
  </si>
  <si>
    <t>Rang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</si>
</sst>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h:mm"/>
    <numFmt numFmtId="165" formatCode="0.000"/>
  </numFmts>
  <fonts count="2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8.0"/>
      <color theme="1"/>
      <name val="Calibri"/>
    </font>
    <font>
      <sz val="10.0"/>
      <color theme="1"/>
      <name val="Arial"/>
    </font>
    <font>
      <color theme="1"/>
      <name val="Arial"/>
    </font>
    <font>
      <b/>
      <sz val="22.0"/>
      <color theme="1"/>
      <name val="Arial"/>
    </font>
    <font/>
    <font>
      <b/>
      <sz val="10.0"/>
      <color theme="1"/>
      <name val="Arial"/>
    </font>
    <font>
      <sz val="13.0"/>
      <color theme="1"/>
      <name val="Calibri"/>
    </font>
    <font>
      <sz val="13.0"/>
      <color theme="1"/>
      <name val="Calibri"/>
      <scheme val="minor"/>
    </font>
    <font>
      <u/>
      <sz val="13.0"/>
      <color theme="1"/>
      <name val="Calibri"/>
    </font>
    <font>
      <color theme="1"/>
      <name val="Calibri"/>
    </font>
    <font>
      <color theme="1"/>
      <name val="Calibri"/>
      <scheme val="minor"/>
    </font>
    <font>
      <sz val="10.0"/>
      <color theme="1"/>
      <name val="Calibri"/>
    </font>
    <font>
      <sz val="10.0"/>
      <color theme="1"/>
      <name val="Calibri"/>
      <scheme val="minor"/>
    </font>
    <font>
      <sz val="16.0"/>
      <color theme="1"/>
      <name val="Calibri"/>
    </font>
    <font>
      <sz val="16.0"/>
      <color theme="1"/>
      <name val="Calibri"/>
      <scheme val="minor"/>
    </font>
    <font>
      <sz val="11.0"/>
      <color rgb="FF000000"/>
      <name val="Calibri"/>
    </font>
    <font>
      <sz val="10.0"/>
      <color rgb="FF000000"/>
      <name val="Calibri"/>
    </font>
    <font>
      <b/>
      <sz val="7.0"/>
      <color theme="1"/>
      <name val="Arial Narrow"/>
    </font>
    <font>
      <sz val="7.0"/>
      <color theme="1"/>
      <name val="Arial Narrow"/>
    </font>
    <font>
      <b/>
      <sz val="9.0"/>
      <color theme="1"/>
      <name val="Arial"/>
    </font>
    <font>
      <sz val="7.0"/>
      <color theme="1"/>
      <name val="Arial"/>
    </font>
    <font>
      <b/>
      <sz val="8.0"/>
      <color theme="1"/>
      <name val="Arial"/>
    </font>
    <font>
      <sz val="11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DADADA"/>
        <bgColor rgb="FFDADADA"/>
      </patternFill>
    </fill>
    <fill>
      <patternFill patternType="solid">
        <fgColor rgb="FFFF9900"/>
        <bgColor rgb="FFFF9900"/>
      </patternFill>
    </fill>
  </fills>
  <borders count="24">
    <border/>
    <border>
      <left/>
      <right/>
      <top/>
      <bottom/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bottom style="double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1" fillId="2" fontId="3" numFmtId="0" xfId="0" applyAlignment="1" applyBorder="1" applyFill="1" applyFont="1">
      <alignment shrinkToFit="0" vertical="top" wrapText="1"/>
    </xf>
    <xf borderId="0" fillId="0" fontId="4" numFmtId="0" xfId="0" applyFont="1"/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shrinkToFit="0" vertical="bottom" wrapText="0"/>
    </xf>
    <xf borderId="2" fillId="0" fontId="6" numFmtId="0" xfId="0" applyAlignment="1" applyBorder="1" applyFont="1">
      <alignment horizontal="center"/>
    </xf>
    <xf borderId="2" fillId="0" fontId="7" numFmtId="0" xfId="0" applyBorder="1" applyFont="1"/>
    <xf borderId="3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5" fillId="0" fontId="7" numFmtId="0" xfId="0" applyBorder="1" applyFont="1"/>
    <xf borderId="6" fillId="0" fontId="8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right" vertical="center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right" vertical="center"/>
    </xf>
    <xf borderId="12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right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shrinkToFit="0" vertical="center" wrapText="1"/>
    </xf>
    <xf borderId="0" fillId="0" fontId="10" numFmtId="0" xfId="0" applyFont="1"/>
    <xf borderId="1" fillId="3" fontId="9" numFmtId="0" xfId="0" applyBorder="1" applyFill="1" applyFont="1"/>
    <xf borderId="1" fillId="4" fontId="9" numFmtId="0" xfId="0" applyBorder="1" applyFill="1" applyFont="1"/>
    <xf borderId="0" fillId="0" fontId="9" numFmtId="0" xfId="0" applyFont="1"/>
    <xf borderId="1" fillId="3" fontId="11" numFmtId="0" xfId="0" applyBorder="1" applyFont="1"/>
    <xf borderId="0" fillId="0" fontId="12" numFmtId="0" xfId="0" applyFont="1"/>
    <xf borderId="0" fillId="0" fontId="2" numFmtId="0" xfId="0" applyFont="1"/>
    <xf borderId="0" fillId="0" fontId="13" numFmtId="0" xfId="0" applyAlignment="1" applyFont="1">
      <alignment readingOrder="0"/>
    </xf>
    <xf borderId="1" fillId="5" fontId="1" numFmtId="0" xfId="0" applyBorder="1" applyFill="1" applyFont="1"/>
    <xf borderId="1" fillId="6" fontId="1" numFmtId="0" xfId="0" applyBorder="1" applyFill="1" applyFont="1"/>
    <xf borderId="1" fillId="4" fontId="1" numFmtId="0" xfId="0" applyBorder="1" applyFont="1"/>
    <xf borderId="1" fillId="7" fontId="1" numFmtId="0" xfId="0" applyBorder="1" applyFill="1" applyFont="1"/>
    <xf borderId="1" fillId="8" fontId="1" numFmtId="0" xfId="0" applyBorder="1" applyFill="1" applyFont="1"/>
    <xf borderId="1" fillId="9" fontId="1" numFmtId="0" xfId="0" applyBorder="1" applyFill="1" applyFont="1"/>
    <xf borderId="1" fillId="10" fontId="1" numFmtId="0" xfId="0" applyBorder="1" applyFill="1" applyFont="1"/>
    <xf borderId="1" fillId="5" fontId="2" numFmtId="0" xfId="0" applyBorder="1" applyFont="1"/>
    <xf borderId="1" fillId="6" fontId="2" numFmtId="0" xfId="0" applyBorder="1" applyFont="1"/>
    <xf borderId="1" fillId="4" fontId="2" numFmtId="0" xfId="0" applyBorder="1" applyFont="1"/>
    <xf borderId="1" fillId="7" fontId="2" numFmtId="0" xfId="0" applyBorder="1" applyFont="1"/>
    <xf borderId="1" fillId="8" fontId="2" numFmtId="0" xfId="0" applyBorder="1" applyFont="1"/>
    <xf borderId="1" fillId="9" fontId="2" numFmtId="0" xfId="0" applyBorder="1" applyFont="1"/>
    <xf borderId="1" fillId="10" fontId="2" numFmtId="0" xfId="0" applyBorder="1" applyFont="1"/>
    <xf borderId="0" fillId="0" fontId="14" numFmtId="0" xfId="0" applyFont="1"/>
    <xf borderId="0" fillId="0" fontId="15" numFmtId="0" xfId="0" applyFont="1"/>
    <xf borderId="1" fillId="5" fontId="14" numFmtId="0" xfId="0" applyBorder="1" applyFont="1"/>
    <xf borderId="15" fillId="11" fontId="14" numFmtId="1" xfId="0" applyBorder="1" applyFill="1" applyFont="1" applyNumberFormat="1"/>
    <xf borderId="15" fillId="11" fontId="14" numFmtId="1" xfId="0" applyAlignment="1" applyBorder="1" applyFont="1" applyNumberFormat="1">
      <alignment readingOrder="0"/>
    </xf>
    <xf borderId="15" fillId="11" fontId="14" numFmtId="164" xfId="0" applyAlignment="1" applyBorder="1" applyFont="1" applyNumberFormat="1">
      <alignment readingOrder="0"/>
    </xf>
    <xf borderId="15" fillId="11" fontId="14" numFmtId="0" xfId="0" applyBorder="1" applyFont="1"/>
    <xf borderId="0" fillId="0" fontId="14" numFmtId="1" xfId="0" applyFont="1" applyNumberFormat="1"/>
    <xf borderId="0" fillId="0" fontId="15" numFmtId="0" xfId="0" applyAlignment="1" applyFont="1">
      <alignment readingOrder="0"/>
    </xf>
    <xf borderId="1" fillId="6" fontId="14" numFmtId="0" xfId="0" applyBorder="1" applyFont="1"/>
    <xf borderId="1" fillId="4" fontId="14" numFmtId="0" xfId="0" applyBorder="1" applyFont="1"/>
    <xf borderId="1" fillId="7" fontId="14" numFmtId="0" xfId="0" applyBorder="1" applyFont="1"/>
    <xf borderId="1" fillId="8" fontId="14" numFmtId="0" xfId="0" applyBorder="1" applyFont="1"/>
    <xf borderId="1" fillId="9" fontId="14" numFmtId="0" xfId="0" applyBorder="1" applyFont="1"/>
    <xf borderId="1" fillId="10" fontId="14" numFmtId="0" xfId="0" applyBorder="1" applyFont="1"/>
    <xf borderId="0" fillId="0" fontId="16" numFmtId="0" xfId="0" applyFont="1"/>
    <xf borderId="0" fillId="0" fontId="17" numFmtId="0" xfId="0" applyFont="1"/>
    <xf borderId="1" fillId="5" fontId="16" numFmtId="0" xfId="0" applyBorder="1" applyFont="1"/>
    <xf borderId="1" fillId="5" fontId="16" numFmtId="165" xfId="0" applyBorder="1" applyFont="1" applyNumberFormat="1"/>
    <xf borderId="1" fillId="5" fontId="16" numFmtId="1" xfId="0" applyBorder="1" applyFont="1" applyNumberFormat="1"/>
    <xf borderId="0" fillId="0" fontId="17" numFmtId="0" xfId="0" applyAlignment="1" applyFont="1">
      <alignment readingOrder="0"/>
    </xf>
    <xf borderId="1" fillId="6" fontId="16" numFmtId="0" xfId="0" applyBorder="1" applyFont="1"/>
    <xf borderId="1" fillId="6" fontId="16" numFmtId="165" xfId="0" applyBorder="1" applyFont="1" applyNumberFormat="1"/>
    <xf borderId="1" fillId="4" fontId="16" numFmtId="0" xfId="0" applyBorder="1" applyFont="1"/>
    <xf borderId="1" fillId="4" fontId="16" numFmtId="165" xfId="0" applyBorder="1" applyFont="1" applyNumberFormat="1"/>
    <xf borderId="1" fillId="7" fontId="16" numFmtId="0" xfId="0" applyBorder="1" applyFont="1"/>
    <xf borderId="1" fillId="7" fontId="16" numFmtId="165" xfId="0" applyBorder="1" applyFont="1" applyNumberFormat="1"/>
    <xf borderId="1" fillId="8" fontId="16" numFmtId="0" xfId="0" applyBorder="1" applyFont="1"/>
    <xf borderId="1" fillId="8" fontId="16" numFmtId="165" xfId="0" applyBorder="1" applyFont="1" applyNumberFormat="1"/>
    <xf borderId="1" fillId="9" fontId="16" numFmtId="0" xfId="0" applyBorder="1" applyFont="1"/>
    <xf borderId="1" fillId="9" fontId="16" numFmtId="165" xfId="0" applyBorder="1" applyFont="1" applyNumberFormat="1"/>
    <xf borderId="1" fillId="10" fontId="16" numFmtId="0" xfId="0" applyBorder="1" applyFont="1"/>
    <xf borderId="0" fillId="0" fontId="2" numFmtId="165" xfId="0" applyFont="1" applyNumberFormat="1"/>
    <xf borderId="0" fillId="0" fontId="2" numFmtId="0" xfId="0" applyAlignment="1" applyFont="1">
      <alignment vertical="bottom"/>
    </xf>
    <xf borderId="15" fillId="3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3" fontId="2" numFmtId="0" xfId="0" applyBorder="1" applyFont="1"/>
    <xf borderId="0" fillId="0" fontId="18" numFmtId="0" xfId="0" applyAlignment="1" applyFont="1">
      <alignment horizontal="center" readingOrder="0" shrinkToFit="0" vertical="center" wrapText="1"/>
    </xf>
    <xf borderId="15" fillId="3" fontId="2" numFmtId="0" xfId="0" applyAlignment="1" applyBorder="1" applyFont="1">
      <alignment horizontal="right" vertical="bottom"/>
    </xf>
    <xf borderId="0" fillId="0" fontId="12" numFmtId="0" xfId="0" applyAlignment="1" applyFont="1">
      <alignment readingOrder="0"/>
    </xf>
    <xf borderId="0" fillId="0" fontId="2" numFmtId="0" xfId="0" applyAlignment="1" applyFont="1">
      <alignment horizontal="right" vertical="bottom"/>
    </xf>
    <xf borderId="0" fillId="0" fontId="18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textRotation="90"/>
    </xf>
    <xf borderId="17" fillId="0" fontId="2" numFmtId="0" xfId="0" applyAlignment="1" applyBorder="1" applyFont="1">
      <alignment horizontal="center" shrinkToFit="0" textRotation="90" vertical="center" wrapText="1"/>
    </xf>
    <xf borderId="17" fillId="0" fontId="7" numFmtId="0" xfId="0" applyBorder="1" applyFont="1"/>
    <xf borderId="0" fillId="0" fontId="2" numFmtId="0" xfId="0" applyAlignment="1" applyFont="1">
      <alignment shrinkToFit="0" textRotation="90" wrapText="1"/>
    </xf>
    <xf borderId="0" fillId="0" fontId="14" numFmtId="0" xfId="0" applyAlignment="1" applyFont="1">
      <alignment readingOrder="0"/>
    </xf>
    <xf borderId="0" fillId="0" fontId="14" numFmtId="0" xfId="0" applyAlignment="1" applyFont="1">
      <alignment horizontal="center" textRotation="90" vertical="center"/>
    </xf>
    <xf borderId="0" fillId="0" fontId="19" numFmtId="0" xfId="0" applyAlignment="1" applyFont="1">
      <alignment horizontal="right" shrinkToFit="0" vertical="bottom" wrapText="0"/>
    </xf>
    <xf borderId="0" fillId="0" fontId="19" numFmtId="0" xfId="0" applyAlignment="1" applyFont="1">
      <alignment shrinkToFit="0" vertical="bottom" wrapText="0"/>
    </xf>
    <xf borderId="0" fillId="0" fontId="20" numFmtId="37" xfId="0" applyAlignment="1" applyFont="1" applyNumberForma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1" numFmtId="0" xfId="0" applyAlignment="1" applyFont="1">
      <alignment horizontal="right" vertical="center"/>
    </xf>
    <xf borderId="0" fillId="0" fontId="21" numFmtId="0" xfId="0" applyAlignment="1" applyFont="1">
      <alignment readingOrder="0" vertical="center"/>
    </xf>
    <xf borderId="0" fillId="0" fontId="21" numFmtId="0" xfId="0" applyAlignment="1" applyFont="1">
      <alignment vertical="center"/>
    </xf>
    <xf borderId="0" fillId="0" fontId="21" numFmtId="37" xfId="0" applyAlignment="1" applyFont="1" applyNumberForma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21" numFmtId="37" xfId="0" applyAlignment="1" applyFont="1" applyNumberFormat="1">
      <alignment horizontal="left" vertical="center"/>
    </xf>
    <xf borderId="19" fillId="0" fontId="21" numFmtId="0" xfId="0" applyAlignment="1" applyBorder="1" applyFont="1">
      <alignment horizontal="center" vertical="center"/>
    </xf>
    <xf borderId="16" fillId="0" fontId="22" numFmtId="37" xfId="0" applyAlignment="1" applyBorder="1" applyFont="1" applyNumberFormat="1">
      <alignment horizontal="center" vertical="center"/>
    </xf>
    <xf borderId="20" fillId="0" fontId="21" numFmtId="0" xfId="0" applyAlignment="1" applyBorder="1" applyFont="1">
      <alignment horizontal="left" vertical="center"/>
    </xf>
    <xf borderId="16" fillId="0" fontId="21" numFmtId="37" xfId="0" applyAlignment="1" applyBorder="1" applyFont="1" applyNumberFormat="1">
      <alignment horizontal="right" vertical="center"/>
    </xf>
    <xf borderId="21" fillId="0" fontId="21" numFmtId="37" xfId="0" applyAlignment="1" applyBorder="1" applyFont="1" applyNumberFormat="1">
      <alignment horizontal="left" vertical="center"/>
    </xf>
    <xf borderId="16" fillId="0" fontId="21" numFmtId="0" xfId="0" applyAlignment="1" applyBorder="1" applyFont="1">
      <alignment horizontal="right" vertical="center"/>
    </xf>
    <xf borderId="21" fillId="0" fontId="21" numFmtId="37" xfId="0" applyAlignment="1" applyBorder="1" applyFont="1" applyNumberFormat="1">
      <alignment horizontal="right" vertical="center"/>
    </xf>
    <xf borderId="0" fillId="0" fontId="23" numFmtId="37" xfId="0" applyAlignment="1" applyFont="1" applyNumberFormat="1">
      <alignment horizontal="right" vertical="center"/>
    </xf>
    <xf borderId="0" fillId="0" fontId="21" numFmtId="37" xfId="0" applyAlignment="1" applyFont="1" applyNumberFormat="1">
      <alignment horizontal="right" vertical="center"/>
    </xf>
    <xf borderId="21" fillId="0" fontId="21" numFmtId="0" xfId="0" applyAlignment="1" applyBorder="1" applyFont="1">
      <alignment horizontal="left" vertical="center"/>
    </xf>
    <xf borderId="22" fillId="0" fontId="2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20" fillId="0" fontId="21" numFmtId="0" xfId="0" applyAlignment="1" applyBorder="1" applyFont="1">
      <alignment horizontal="right" vertical="center"/>
    </xf>
    <xf borderId="0" fillId="0" fontId="25" numFmtId="0" xfId="0" applyAlignment="1" applyFont="1">
      <alignment horizontal="center" vertical="center"/>
    </xf>
    <xf borderId="0" fillId="0" fontId="23" numFmtId="0" xfId="0" applyAlignment="1" applyFont="1">
      <alignment vertical="center"/>
    </xf>
    <xf borderId="0" fillId="0" fontId="2" numFmtId="0" xfId="0" applyAlignment="1" applyFont="1">
      <alignment vertical="center"/>
    </xf>
    <xf borderId="23" fillId="0" fontId="21" numFmtId="0" xfId="0" applyAlignment="1" applyBorder="1" applyFont="1">
      <alignment vertical="center"/>
    </xf>
    <xf borderId="0" fillId="0" fontId="20" numFmtId="0" xfId="0" applyAlignment="1" applyFont="1">
      <alignment vertical="center"/>
    </xf>
    <xf borderId="8" fillId="0" fontId="21" numFmtId="0" xfId="0" applyAlignment="1" applyBorder="1" applyFont="1">
      <alignment horizontal="right" vertical="center"/>
    </xf>
    <xf borderId="19" fillId="0" fontId="23" numFmtId="37" xfId="0" applyAlignment="1" applyBorder="1" applyFont="1" applyNumberFormat="1">
      <alignment horizontal="right" vertical="center"/>
    </xf>
    <xf borderId="0" fillId="0" fontId="10" numFmtId="0" xfId="0" applyAlignment="1" applyFont="1">
      <alignment readingOrder="0"/>
    </xf>
    <xf borderId="0" fillId="0" fontId="9" numFmtId="1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F7CAAC"/>
          <bgColor rgb="FFF7CAA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4686300</xdr:colOff>
      <xdr:row>24</xdr:row>
      <xdr:rowOff>0</xdr:rowOff>
    </xdr:from>
    <xdr:ext cx="638175" cy="10001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78.29"/>
    <col customWidth="1" min="3" max="26" width="11.4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2.0</v>
      </c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75" customHeight="1">
      <c r="A6" s="1"/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>
        <v>3.0</v>
      </c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1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">
        <v>4.0</v>
      </c>
      <c r="B11" s="2" t="s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"/>
      <c r="B12" s="2" t="s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2" t="s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1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/>
      <c r="B15" s="1" t="s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/>
      <c r="B16" s="2" t="s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>
        <v>6.0</v>
      </c>
      <c r="B18" s="2" t="s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"/>
      <c r="B19" s="1" t="s">
        <v>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">
        <v>7.0</v>
      </c>
      <c r="B21" s="2" t="s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"/>
      <c r="B26" s="3" t="s">
        <v>14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"/>
      <c r="B27" s="3" t="s">
        <v>15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"/>
      <c r="B28" s="3" t="s">
        <v>16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43"/>
    <col customWidth="1" min="3" max="3" width="32.57"/>
    <col customWidth="1" min="4" max="11" width="11.43"/>
    <col customWidth="1" min="12" max="12" width="26.14"/>
    <col customWidth="1" min="13" max="13" width="11.43"/>
    <col customWidth="1" min="14" max="26" width="10.71"/>
  </cols>
  <sheetData>
    <row r="1" ht="12.75" customHeight="1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18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4" t="s">
        <v>18</v>
      </c>
      <c r="B4" s="4">
        <v>1.0</v>
      </c>
      <c r="C4" s="5" t="s">
        <v>26</v>
      </c>
      <c r="D4" s="6">
        <v>1.0</v>
      </c>
      <c r="E4" s="5" t="s">
        <v>27</v>
      </c>
      <c r="F4" s="6">
        <v>512.0</v>
      </c>
      <c r="G4" s="6">
        <v>1032.0</v>
      </c>
      <c r="H4" s="4"/>
      <c r="I4" s="4" t="s">
        <v>18</v>
      </c>
      <c r="J4" s="5" t="s">
        <v>28</v>
      </c>
      <c r="K4" s="5" t="s">
        <v>29</v>
      </c>
      <c r="L4" s="5" t="s">
        <v>30</v>
      </c>
      <c r="M4" s="5" t="s">
        <v>31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4" t="s">
        <v>18</v>
      </c>
      <c r="B5" s="4"/>
      <c r="C5" s="5" t="s">
        <v>32</v>
      </c>
      <c r="D5" s="6">
        <v>1.0</v>
      </c>
      <c r="E5" s="5" t="s">
        <v>27</v>
      </c>
      <c r="F5" s="6">
        <v>520.0</v>
      </c>
      <c r="G5" s="7"/>
      <c r="H5" s="4"/>
      <c r="I5" s="4" t="s">
        <v>18</v>
      </c>
      <c r="J5" s="5" t="s">
        <v>30</v>
      </c>
      <c r="K5" s="5" t="s">
        <v>31</v>
      </c>
      <c r="L5" s="7"/>
      <c r="M5" s="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4" t="s">
        <v>18</v>
      </c>
      <c r="B6" s="4">
        <v>2.0</v>
      </c>
      <c r="C6" s="5" t="s">
        <v>33</v>
      </c>
      <c r="D6" s="6">
        <v>1.0</v>
      </c>
      <c r="E6" s="5" t="s">
        <v>34</v>
      </c>
      <c r="F6" s="6">
        <v>480.0</v>
      </c>
      <c r="G6" s="6">
        <v>960.0</v>
      </c>
      <c r="H6" s="4"/>
      <c r="I6" s="4" t="s">
        <v>18</v>
      </c>
      <c r="J6" s="5" t="s">
        <v>35</v>
      </c>
      <c r="K6" s="5" t="s">
        <v>36</v>
      </c>
      <c r="L6" s="5" t="s">
        <v>37</v>
      </c>
      <c r="M6" s="5" t="s">
        <v>38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4" t="s">
        <v>18</v>
      </c>
      <c r="B7" s="4"/>
      <c r="C7" s="5" t="s">
        <v>39</v>
      </c>
      <c r="D7" s="6">
        <v>1.0</v>
      </c>
      <c r="E7" s="5" t="s">
        <v>34</v>
      </c>
      <c r="F7" s="6">
        <v>480.0</v>
      </c>
      <c r="G7" s="7"/>
      <c r="H7" s="4"/>
      <c r="I7" s="4" t="s">
        <v>18</v>
      </c>
      <c r="J7" s="5" t="s">
        <v>37</v>
      </c>
      <c r="K7" s="5" t="s">
        <v>38</v>
      </c>
      <c r="L7" s="7"/>
      <c r="M7" s="7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4" t="s">
        <v>18</v>
      </c>
      <c r="B8" s="4">
        <v>3.0</v>
      </c>
      <c r="C8" s="5" t="s">
        <v>40</v>
      </c>
      <c r="D8" s="6">
        <v>1.0</v>
      </c>
      <c r="E8" s="5" t="s">
        <v>27</v>
      </c>
      <c r="F8" s="6">
        <v>263.0</v>
      </c>
      <c r="G8" s="6">
        <v>833.0</v>
      </c>
      <c r="H8" s="4"/>
      <c r="I8" s="4" t="s">
        <v>18</v>
      </c>
      <c r="J8" s="5" t="s">
        <v>41</v>
      </c>
      <c r="K8" s="5" t="s">
        <v>42</v>
      </c>
      <c r="L8" s="5" t="s">
        <v>43</v>
      </c>
      <c r="M8" s="5" t="s">
        <v>44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4" t="s">
        <v>18</v>
      </c>
      <c r="B9" s="4"/>
      <c r="C9" s="5" t="s">
        <v>45</v>
      </c>
      <c r="D9" s="6">
        <v>1.0</v>
      </c>
      <c r="E9" s="5" t="s">
        <v>27</v>
      </c>
      <c r="F9" s="6">
        <v>570.0</v>
      </c>
      <c r="G9" s="7"/>
      <c r="H9" s="4"/>
      <c r="I9" s="4" t="s">
        <v>18</v>
      </c>
      <c r="J9" s="5" t="s">
        <v>43</v>
      </c>
      <c r="K9" s="5" t="s">
        <v>44</v>
      </c>
      <c r="L9" s="7"/>
      <c r="M9" s="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4" t="s">
        <v>18</v>
      </c>
      <c r="B10" s="4">
        <v>4.0</v>
      </c>
      <c r="C10" s="5" t="s">
        <v>46</v>
      </c>
      <c r="D10" s="6">
        <v>1.0</v>
      </c>
      <c r="E10" s="5" t="s">
        <v>27</v>
      </c>
      <c r="F10" s="6">
        <v>273.0</v>
      </c>
      <c r="G10" s="6">
        <v>823.0</v>
      </c>
      <c r="H10" s="4"/>
      <c r="I10" s="4" t="s">
        <v>18</v>
      </c>
      <c r="J10" s="5" t="s">
        <v>47</v>
      </c>
      <c r="K10" s="5" t="s">
        <v>48</v>
      </c>
      <c r="L10" s="5" t="s">
        <v>49</v>
      </c>
      <c r="M10" s="5" t="s">
        <v>50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4" t="s">
        <v>18</v>
      </c>
      <c r="B11" s="4"/>
      <c r="C11" s="5" t="s">
        <v>51</v>
      </c>
      <c r="D11" s="6">
        <v>1.0</v>
      </c>
      <c r="E11" s="5" t="s">
        <v>52</v>
      </c>
      <c r="F11" s="6">
        <v>550.0</v>
      </c>
      <c r="G11" s="7"/>
      <c r="H11" s="4"/>
      <c r="I11" s="4" t="s">
        <v>18</v>
      </c>
      <c r="J11" s="5" t="s">
        <v>49</v>
      </c>
      <c r="K11" s="5" t="s">
        <v>50</v>
      </c>
      <c r="L11" s="7"/>
      <c r="M11" s="7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4" t="s">
        <v>18</v>
      </c>
      <c r="B12" s="4">
        <v>5.0</v>
      </c>
      <c r="C12" s="5" t="s">
        <v>53</v>
      </c>
      <c r="D12" s="6">
        <v>1.0</v>
      </c>
      <c r="E12" s="5" t="s">
        <v>27</v>
      </c>
      <c r="F12" s="6">
        <v>485.0</v>
      </c>
      <c r="G12" s="6">
        <v>796.0</v>
      </c>
      <c r="H12" s="4"/>
      <c r="I12" s="4" t="s">
        <v>18</v>
      </c>
      <c r="J12" s="5" t="s">
        <v>54</v>
      </c>
      <c r="K12" s="5" t="s">
        <v>55</v>
      </c>
      <c r="L12" s="5" t="s">
        <v>56</v>
      </c>
      <c r="M12" s="5" t="s">
        <v>57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4" t="s">
        <v>18</v>
      </c>
      <c r="B13" s="4"/>
      <c r="C13" s="5" t="s">
        <v>58</v>
      </c>
      <c r="D13" s="6">
        <v>1.0</v>
      </c>
      <c r="E13" s="5" t="s">
        <v>27</v>
      </c>
      <c r="F13" s="6">
        <v>311.0</v>
      </c>
      <c r="G13" s="7"/>
      <c r="H13" s="4"/>
      <c r="I13" s="4" t="s">
        <v>18</v>
      </c>
      <c r="J13" s="5" t="s">
        <v>56</v>
      </c>
      <c r="K13" s="5" t="s">
        <v>57</v>
      </c>
      <c r="L13" s="7"/>
      <c r="M13" s="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 t="s">
        <v>18</v>
      </c>
      <c r="B14" s="4">
        <v>6.0</v>
      </c>
      <c r="C14" s="5" t="s">
        <v>59</v>
      </c>
      <c r="D14" s="6">
        <v>1.0</v>
      </c>
      <c r="E14" s="5" t="s">
        <v>34</v>
      </c>
      <c r="F14" s="6">
        <v>267.0</v>
      </c>
      <c r="G14" s="6">
        <v>469.0</v>
      </c>
      <c r="H14" s="4"/>
      <c r="I14" s="4" t="s">
        <v>18</v>
      </c>
      <c r="J14" s="5" t="s">
        <v>60</v>
      </c>
      <c r="K14" s="5" t="s">
        <v>61</v>
      </c>
      <c r="L14" s="5" t="s">
        <v>62</v>
      </c>
      <c r="M14" s="5" t="s">
        <v>63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" t="s">
        <v>18</v>
      </c>
      <c r="B15" s="4"/>
      <c r="C15" s="5" t="s">
        <v>64</v>
      </c>
      <c r="D15" s="6">
        <v>1.0</v>
      </c>
      <c r="E15" s="5" t="s">
        <v>34</v>
      </c>
      <c r="F15" s="6">
        <v>202.0</v>
      </c>
      <c r="G15" s="7"/>
      <c r="H15" s="4"/>
      <c r="I15" s="4" t="s">
        <v>18</v>
      </c>
      <c r="J15" s="5" t="s">
        <v>62</v>
      </c>
      <c r="K15" s="5" t="s">
        <v>63</v>
      </c>
      <c r="L15" s="7"/>
      <c r="M15" s="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" t="s">
        <v>18</v>
      </c>
      <c r="B16" s="4">
        <v>7.0</v>
      </c>
      <c r="C16" s="5" t="s">
        <v>65</v>
      </c>
      <c r="D16" s="6">
        <v>1.0</v>
      </c>
      <c r="E16" s="5" t="s">
        <v>66</v>
      </c>
      <c r="F16" s="6">
        <v>240.0</v>
      </c>
      <c r="G16" s="6">
        <v>460.0</v>
      </c>
      <c r="H16" s="4"/>
      <c r="I16" s="4" t="s">
        <v>18</v>
      </c>
      <c r="J16" s="5" t="s">
        <v>67</v>
      </c>
      <c r="K16" s="5" t="s">
        <v>68</v>
      </c>
      <c r="L16" s="5" t="s">
        <v>69</v>
      </c>
      <c r="M16" s="5" t="s">
        <v>70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" t="s">
        <v>18</v>
      </c>
      <c r="B17" s="4"/>
      <c r="C17" s="5" t="s">
        <v>71</v>
      </c>
      <c r="D17" s="6">
        <v>1.0</v>
      </c>
      <c r="E17" s="5" t="s">
        <v>66</v>
      </c>
      <c r="F17" s="6">
        <v>220.0</v>
      </c>
      <c r="G17" s="7"/>
      <c r="H17" s="4"/>
      <c r="I17" s="4" t="s">
        <v>18</v>
      </c>
      <c r="J17" s="5" t="s">
        <v>69</v>
      </c>
      <c r="K17" s="5" t="s">
        <v>70</v>
      </c>
      <c r="L17" s="7"/>
      <c r="M17" s="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" t="s">
        <v>18</v>
      </c>
      <c r="B18" s="4">
        <v>8.0</v>
      </c>
      <c r="C18" s="5" t="s">
        <v>72</v>
      </c>
      <c r="D18" s="6">
        <v>1.0</v>
      </c>
      <c r="E18" s="5" t="s">
        <v>27</v>
      </c>
      <c r="F18" s="6">
        <v>279.0</v>
      </c>
      <c r="G18" s="6">
        <v>435.0</v>
      </c>
      <c r="H18" s="4"/>
      <c r="I18" s="4" t="s">
        <v>18</v>
      </c>
      <c r="J18" s="5" t="s">
        <v>73</v>
      </c>
      <c r="K18" s="5" t="s">
        <v>74</v>
      </c>
      <c r="L18" s="5" t="s">
        <v>75</v>
      </c>
      <c r="M18" s="5" t="s">
        <v>76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" t="s">
        <v>18</v>
      </c>
      <c r="B19" s="4"/>
      <c r="C19" s="5" t="s">
        <v>77</v>
      </c>
      <c r="D19" s="6">
        <v>1.0</v>
      </c>
      <c r="E19" s="5" t="s">
        <v>27</v>
      </c>
      <c r="F19" s="6">
        <v>156.0</v>
      </c>
      <c r="G19" s="7"/>
      <c r="H19" s="4"/>
      <c r="I19" s="4" t="s">
        <v>18</v>
      </c>
      <c r="J19" s="5" t="s">
        <v>75</v>
      </c>
      <c r="K19" s="5" t="s">
        <v>76</v>
      </c>
      <c r="L19" s="7"/>
      <c r="M19" s="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 t="s">
        <v>18</v>
      </c>
      <c r="B20" s="4">
        <v>9.0</v>
      </c>
      <c r="C20" s="5" t="s">
        <v>78</v>
      </c>
      <c r="D20" s="6">
        <v>1.0</v>
      </c>
      <c r="E20" s="5" t="s">
        <v>34</v>
      </c>
      <c r="F20" s="6">
        <v>179.0</v>
      </c>
      <c r="G20" s="6">
        <v>349.0</v>
      </c>
      <c r="H20" s="4"/>
      <c r="I20" s="4" t="s">
        <v>18</v>
      </c>
      <c r="J20" s="5" t="s">
        <v>79</v>
      </c>
      <c r="K20" s="5" t="s">
        <v>80</v>
      </c>
      <c r="L20" s="5" t="s">
        <v>81</v>
      </c>
      <c r="M20" s="5" t="s">
        <v>82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 t="s">
        <v>18</v>
      </c>
      <c r="B21" s="4"/>
      <c r="C21" s="5" t="s">
        <v>83</v>
      </c>
      <c r="D21" s="6">
        <v>1.0</v>
      </c>
      <c r="E21" s="5" t="s">
        <v>34</v>
      </c>
      <c r="F21" s="6">
        <v>170.0</v>
      </c>
      <c r="G21" s="7"/>
      <c r="H21" s="4"/>
      <c r="I21" s="4" t="s">
        <v>18</v>
      </c>
      <c r="J21" s="5" t="s">
        <v>81</v>
      </c>
      <c r="K21" s="5" t="s">
        <v>82</v>
      </c>
      <c r="L21" s="7"/>
      <c r="M21" s="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 t="s">
        <v>18</v>
      </c>
      <c r="B22" s="4">
        <v>10.0</v>
      </c>
      <c r="C22" s="5" t="s">
        <v>84</v>
      </c>
      <c r="D22" s="6">
        <v>1.0</v>
      </c>
      <c r="E22" s="5" t="s">
        <v>85</v>
      </c>
      <c r="F22" s="6">
        <v>335.0</v>
      </c>
      <c r="G22" s="6">
        <v>335.0</v>
      </c>
      <c r="H22" s="4"/>
      <c r="I22" s="4" t="s">
        <v>18</v>
      </c>
      <c r="J22" s="5" t="s">
        <v>86</v>
      </c>
      <c r="K22" s="5" t="s">
        <v>87</v>
      </c>
      <c r="L22" s="5" t="s">
        <v>88</v>
      </c>
      <c r="M22" s="5" t="s">
        <v>89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 t="s">
        <v>18</v>
      </c>
      <c r="B23" s="4"/>
      <c r="C23" s="5" t="s">
        <v>90</v>
      </c>
      <c r="D23" s="6">
        <v>1.0</v>
      </c>
      <c r="E23" s="5" t="s">
        <v>34</v>
      </c>
      <c r="F23" s="6">
        <v>0.0</v>
      </c>
      <c r="G23" s="7"/>
      <c r="H23" s="4"/>
      <c r="I23" s="4" t="s">
        <v>18</v>
      </c>
      <c r="J23" s="5" t="s">
        <v>88</v>
      </c>
      <c r="K23" s="5" t="s">
        <v>89</v>
      </c>
      <c r="M23" s="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 t="s">
        <v>18</v>
      </c>
      <c r="B24" s="4">
        <v>11.0</v>
      </c>
      <c r="C24" s="5" t="s">
        <v>91</v>
      </c>
      <c r="D24" s="6">
        <v>1.0</v>
      </c>
      <c r="E24" s="5" t="s">
        <v>34</v>
      </c>
      <c r="F24" s="6">
        <v>179.0</v>
      </c>
      <c r="G24" s="6">
        <v>335.0</v>
      </c>
      <c r="H24" s="4"/>
      <c r="I24" s="4" t="s">
        <v>18</v>
      </c>
      <c r="J24" s="5" t="s">
        <v>92</v>
      </c>
      <c r="K24" s="5" t="s">
        <v>93</v>
      </c>
      <c r="L24" s="5" t="s">
        <v>94</v>
      </c>
      <c r="M24" s="5" t="s">
        <v>95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 t="s">
        <v>18</v>
      </c>
      <c r="B25" s="4"/>
      <c r="C25" s="5" t="s">
        <v>96</v>
      </c>
      <c r="D25" s="6">
        <v>1.0</v>
      </c>
      <c r="E25" s="5" t="s">
        <v>34</v>
      </c>
      <c r="F25" s="6">
        <v>156.0</v>
      </c>
      <c r="G25" s="7"/>
      <c r="H25" s="4"/>
      <c r="I25" s="4" t="s">
        <v>18</v>
      </c>
      <c r="J25" s="5" t="s">
        <v>94</v>
      </c>
      <c r="K25" s="5" t="s">
        <v>95</v>
      </c>
      <c r="L25" s="7"/>
      <c r="M25" s="7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 t="s">
        <v>18</v>
      </c>
      <c r="B26" s="4">
        <v>12.0</v>
      </c>
      <c r="C26" s="5" t="s">
        <v>97</v>
      </c>
      <c r="D26" s="6">
        <v>1.0</v>
      </c>
      <c r="E26" s="5" t="s">
        <v>27</v>
      </c>
      <c r="F26" s="6">
        <v>148.0</v>
      </c>
      <c r="G26" s="6">
        <v>332.0</v>
      </c>
      <c r="H26" s="4"/>
      <c r="I26" s="4" t="s">
        <v>18</v>
      </c>
      <c r="J26" s="5" t="s">
        <v>98</v>
      </c>
      <c r="K26" s="5" t="s">
        <v>99</v>
      </c>
      <c r="L26" s="5" t="s">
        <v>100</v>
      </c>
      <c r="M26" s="5" t="s">
        <v>101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 t="s">
        <v>18</v>
      </c>
      <c r="B27" s="4"/>
      <c r="C27" s="5" t="s">
        <v>102</v>
      </c>
      <c r="D27" s="6">
        <v>1.0</v>
      </c>
      <c r="E27" s="5" t="s">
        <v>27</v>
      </c>
      <c r="F27" s="6">
        <v>184.0</v>
      </c>
      <c r="G27" s="7"/>
      <c r="H27" s="4"/>
      <c r="I27" s="4" t="s">
        <v>18</v>
      </c>
      <c r="J27" s="5" t="s">
        <v>100</v>
      </c>
      <c r="K27" s="5" t="s">
        <v>101</v>
      </c>
      <c r="L27" s="7"/>
      <c r="M27" s="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 t="s">
        <v>18</v>
      </c>
      <c r="B28" s="4">
        <v>13.0</v>
      </c>
      <c r="C28" s="5" t="s">
        <v>103</v>
      </c>
      <c r="D28" s="6">
        <v>1.0</v>
      </c>
      <c r="E28" s="5" t="s">
        <v>34</v>
      </c>
      <c r="F28" s="6">
        <v>153.0</v>
      </c>
      <c r="G28" s="6">
        <v>320.0</v>
      </c>
      <c r="H28" s="4"/>
      <c r="I28" s="4" t="s">
        <v>18</v>
      </c>
      <c r="J28" s="5" t="s">
        <v>104</v>
      </c>
      <c r="K28" s="5" t="s">
        <v>105</v>
      </c>
      <c r="L28" s="5" t="s">
        <v>106</v>
      </c>
      <c r="M28" s="5" t="s">
        <v>107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 t="s">
        <v>18</v>
      </c>
      <c r="B29" s="4"/>
      <c r="C29" s="5" t="s">
        <v>108</v>
      </c>
      <c r="D29" s="6">
        <v>1.0</v>
      </c>
      <c r="E29" s="5" t="s">
        <v>34</v>
      </c>
      <c r="F29" s="6">
        <v>167.0</v>
      </c>
      <c r="G29" s="7"/>
      <c r="H29" s="4"/>
      <c r="I29" s="4" t="s">
        <v>18</v>
      </c>
      <c r="J29" s="5" t="s">
        <v>106</v>
      </c>
      <c r="K29" s="5" t="s">
        <v>107</v>
      </c>
      <c r="L29" s="7"/>
      <c r="M29" s="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 t="s">
        <v>18</v>
      </c>
      <c r="B30" s="4">
        <v>14.0</v>
      </c>
      <c r="C30" s="5" t="s">
        <v>109</v>
      </c>
      <c r="D30" s="6">
        <v>1.0</v>
      </c>
      <c r="E30" s="5" t="s">
        <v>27</v>
      </c>
      <c r="F30" s="6">
        <v>129.0</v>
      </c>
      <c r="G30" s="6">
        <v>310.0</v>
      </c>
      <c r="H30" s="4"/>
      <c r="I30" s="4" t="s">
        <v>18</v>
      </c>
      <c r="J30" s="5" t="s">
        <v>110</v>
      </c>
      <c r="K30" s="5" t="s">
        <v>111</v>
      </c>
      <c r="L30" s="5" t="s">
        <v>112</v>
      </c>
      <c r="M30" s="5" t="s">
        <v>113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 t="s">
        <v>18</v>
      </c>
      <c r="B31" s="4"/>
      <c r="C31" s="5" t="s">
        <v>114</v>
      </c>
      <c r="D31" s="6">
        <v>1.0</v>
      </c>
      <c r="E31" s="5" t="s">
        <v>27</v>
      </c>
      <c r="F31" s="6">
        <v>181.0</v>
      </c>
      <c r="G31" s="7"/>
      <c r="H31" s="4"/>
      <c r="I31" s="4" t="s">
        <v>18</v>
      </c>
      <c r="J31" s="5" t="s">
        <v>112</v>
      </c>
      <c r="K31" s="5" t="s">
        <v>113</v>
      </c>
      <c r="L31" s="7"/>
      <c r="M31" s="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 t="s">
        <v>18</v>
      </c>
      <c r="B32" s="4">
        <v>15.0</v>
      </c>
      <c r="C32" s="5" t="s">
        <v>115</v>
      </c>
      <c r="D32" s="6">
        <v>1.0</v>
      </c>
      <c r="E32" s="5" t="s">
        <v>34</v>
      </c>
      <c r="F32" s="6">
        <v>218.0</v>
      </c>
      <c r="G32" s="6">
        <v>290.0</v>
      </c>
      <c r="H32" s="4"/>
      <c r="I32" s="4" t="s">
        <v>18</v>
      </c>
      <c r="J32" s="5" t="s">
        <v>116</v>
      </c>
      <c r="K32" s="5" t="s">
        <v>117</v>
      </c>
      <c r="L32" s="5" t="s">
        <v>118</v>
      </c>
      <c r="M32" s="5" t="s">
        <v>119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 t="s">
        <v>18</v>
      </c>
      <c r="B33" s="4"/>
      <c r="C33" s="5" t="s">
        <v>120</v>
      </c>
      <c r="D33" s="6">
        <v>1.0</v>
      </c>
      <c r="E33" s="5" t="s">
        <v>34</v>
      </c>
      <c r="F33" s="6">
        <v>72.0</v>
      </c>
      <c r="G33" s="7"/>
      <c r="H33" s="4"/>
      <c r="I33" s="4" t="s">
        <v>18</v>
      </c>
      <c r="J33" s="5" t="s">
        <v>118</v>
      </c>
      <c r="K33" s="5" t="s">
        <v>119</v>
      </c>
      <c r="M33" s="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 t="s">
        <v>18</v>
      </c>
      <c r="B34" s="4">
        <v>16.0</v>
      </c>
      <c r="C34" s="5" t="s">
        <v>121</v>
      </c>
      <c r="D34" s="6">
        <v>1.0</v>
      </c>
      <c r="E34" s="5" t="s">
        <v>34</v>
      </c>
      <c r="F34" s="6">
        <v>170.0</v>
      </c>
      <c r="G34" s="6">
        <v>290.0</v>
      </c>
      <c r="H34" s="4"/>
      <c r="I34" s="4" t="s">
        <v>18</v>
      </c>
      <c r="J34" s="5" t="s">
        <v>122</v>
      </c>
      <c r="K34" s="5" t="s">
        <v>123</v>
      </c>
      <c r="L34" s="5" t="s">
        <v>124</v>
      </c>
      <c r="M34" s="5" t="s">
        <v>125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 t="s">
        <v>18</v>
      </c>
      <c r="B35" s="4"/>
      <c r="C35" s="5" t="s">
        <v>126</v>
      </c>
      <c r="D35" s="6">
        <v>1.0</v>
      </c>
      <c r="E35" s="5" t="s">
        <v>34</v>
      </c>
      <c r="F35" s="6">
        <v>120.0</v>
      </c>
      <c r="G35" s="7"/>
      <c r="H35" s="4"/>
      <c r="I35" s="4" t="s">
        <v>18</v>
      </c>
      <c r="J35" s="5" t="s">
        <v>124</v>
      </c>
      <c r="K35" s="5" t="s">
        <v>125</v>
      </c>
      <c r="M35" s="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 t="s">
        <v>18</v>
      </c>
      <c r="B36" s="4">
        <v>17.0</v>
      </c>
      <c r="C36" s="5" t="s">
        <v>127</v>
      </c>
      <c r="D36" s="6">
        <v>1.0</v>
      </c>
      <c r="E36" s="5" t="s">
        <v>27</v>
      </c>
      <c r="F36" s="6">
        <v>143.0</v>
      </c>
      <c r="G36" s="6">
        <v>285.0</v>
      </c>
      <c r="H36" s="4"/>
      <c r="I36" s="4" t="s">
        <v>18</v>
      </c>
      <c r="J36" s="5" t="s">
        <v>128</v>
      </c>
      <c r="K36" s="5" t="s">
        <v>129</v>
      </c>
      <c r="L36" s="5" t="s">
        <v>130</v>
      </c>
      <c r="M36" s="5" t="s">
        <v>131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 t="s">
        <v>18</v>
      </c>
      <c r="B37" s="4"/>
      <c r="C37" s="5" t="s">
        <v>132</v>
      </c>
      <c r="D37" s="6">
        <v>1.0</v>
      </c>
      <c r="E37" s="5" t="s">
        <v>27</v>
      </c>
      <c r="F37" s="6">
        <v>142.0</v>
      </c>
      <c r="G37" s="7"/>
      <c r="H37" s="4"/>
      <c r="I37" s="4" t="s">
        <v>18</v>
      </c>
      <c r="J37" s="5" t="s">
        <v>130</v>
      </c>
      <c r="K37" s="5" t="s">
        <v>131</v>
      </c>
      <c r="L37" s="7"/>
      <c r="M37" s="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 t="s">
        <v>18</v>
      </c>
      <c r="B38" s="4">
        <v>18.0</v>
      </c>
      <c r="C38" s="5" t="s">
        <v>133</v>
      </c>
      <c r="D38" s="6">
        <v>1.0</v>
      </c>
      <c r="E38" s="5" t="s">
        <v>66</v>
      </c>
      <c r="F38" s="6">
        <v>82.0</v>
      </c>
      <c r="G38" s="6">
        <v>267.0</v>
      </c>
      <c r="H38" s="4"/>
      <c r="I38" s="4" t="s">
        <v>18</v>
      </c>
      <c r="J38" s="5" t="s">
        <v>134</v>
      </c>
      <c r="K38" s="5" t="s">
        <v>135</v>
      </c>
      <c r="L38" s="5" t="s">
        <v>136</v>
      </c>
      <c r="M38" s="5" t="s">
        <v>137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 t="s">
        <v>18</v>
      </c>
      <c r="B39" s="4"/>
      <c r="C39" s="5" t="s">
        <v>138</v>
      </c>
      <c r="D39" s="6">
        <v>1.0</v>
      </c>
      <c r="E39" s="5" t="s">
        <v>66</v>
      </c>
      <c r="F39" s="6">
        <v>185.0</v>
      </c>
      <c r="G39" s="7"/>
      <c r="H39" s="4"/>
      <c r="I39" s="4"/>
      <c r="J39" s="5" t="s">
        <v>136</v>
      </c>
      <c r="K39" s="5" t="s">
        <v>137</v>
      </c>
      <c r="L39" s="7"/>
      <c r="M39" s="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 t="s">
        <v>18</v>
      </c>
      <c r="B40" s="4">
        <v>19.0</v>
      </c>
      <c r="C40" s="5" t="s">
        <v>139</v>
      </c>
      <c r="D40" s="6">
        <v>1.0</v>
      </c>
      <c r="E40" s="5" t="s">
        <v>27</v>
      </c>
      <c r="F40" s="6">
        <v>176.0</v>
      </c>
      <c r="G40" s="6">
        <v>222.0</v>
      </c>
      <c r="H40" s="4"/>
      <c r="I40" s="4" t="s">
        <v>18</v>
      </c>
      <c r="J40" s="5" t="s">
        <v>140</v>
      </c>
      <c r="K40" s="5" t="s">
        <v>141</v>
      </c>
      <c r="L40" s="5" t="s">
        <v>142</v>
      </c>
      <c r="M40" s="5" t="s">
        <v>143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 t="s">
        <v>18</v>
      </c>
      <c r="B41" s="4"/>
      <c r="C41" s="5" t="s">
        <v>144</v>
      </c>
      <c r="D41" s="6">
        <v>1.0</v>
      </c>
      <c r="E41" s="5" t="s">
        <v>27</v>
      </c>
      <c r="F41" s="6">
        <v>46.0</v>
      </c>
      <c r="G41" s="7"/>
      <c r="H41" s="4"/>
      <c r="I41" s="4" t="s">
        <v>18</v>
      </c>
      <c r="J41" s="5" t="s">
        <v>142</v>
      </c>
      <c r="K41" s="5" t="s">
        <v>143</v>
      </c>
      <c r="L41" s="7"/>
      <c r="M41" s="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 t="s">
        <v>18</v>
      </c>
      <c r="B42" s="4">
        <v>20.0</v>
      </c>
      <c r="C42" s="5" t="s">
        <v>145</v>
      </c>
      <c r="D42" s="6">
        <v>1.0</v>
      </c>
      <c r="E42" s="5" t="s">
        <v>27</v>
      </c>
      <c r="F42" s="6">
        <v>148.0</v>
      </c>
      <c r="G42" s="6">
        <v>189.0</v>
      </c>
      <c r="H42" s="4"/>
      <c r="I42" s="4" t="s">
        <v>18</v>
      </c>
      <c r="J42" s="5" t="s">
        <v>146</v>
      </c>
      <c r="K42" s="5" t="s">
        <v>147</v>
      </c>
      <c r="L42" s="5" t="s">
        <v>148</v>
      </c>
      <c r="M42" s="5" t="s">
        <v>149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 t="s">
        <v>18</v>
      </c>
      <c r="B43" s="4"/>
      <c r="C43" s="5" t="s">
        <v>150</v>
      </c>
      <c r="D43" s="6">
        <v>1.0</v>
      </c>
      <c r="E43" s="5" t="s">
        <v>27</v>
      </c>
      <c r="F43" s="6">
        <v>41.0</v>
      </c>
      <c r="G43" s="7"/>
      <c r="H43" s="4"/>
      <c r="I43" s="4" t="s">
        <v>18</v>
      </c>
      <c r="J43" s="5" t="s">
        <v>148</v>
      </c>
      <c r="K43" s="5" t="s">
        <v>149</v>
      </c>
      <c r="L43" s="7"/>
      <c r="M43" s="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 t="s">
        <v>18</v>
      </c>
      <c r="B44" s="4">
        <v>21.0</v>
      </c>
      <c r="C44" s="5" t="s">
        <v>151</v>
      </c>
      <c r="D44" s="6">
        <v>1.0</v>
      </c>
      <c r="E44" s="5" t="s">
        <v>27</v>
      </c>
      <c r="F44" s="6">
        <v>86.0</v>
      </c>
      <c r="G44" s="6">
        <v>184.0</v>
      </c>
      <c r="H44" s="4"/>
      <c r="I44" s="4" t="s">
        <v>18</v>
      </c>
      <c r="J44" s="5" t="s">
        <v>152</v>
      </c>
      <c r="K44" s="5" t="s">
        <v>153</v>
      </c>
      <c r="L44" s="5" t="s">
        <v>154</v>
      </c>
      <c r="M44" s="5" t="s">
        <v>155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 t="s">
        <v>18</v>
      </c>
      <c r="B45" s="4"/>
      <c r="C45" s="5" t="s">
        <v>156</v>
      </c>
      <c r="D45" s="6">
        <v>1.0</v>
      </c>
      <c r="E45" s="5" t="s">
        <v>27</v>
      </c>
      <c r="F45" s="6">
        <v>98.0</v>
      </c>
      <c r="G45" s="7"/>
      <c r="H45" s="4"/>
      <c r="I45" s="4" t="s">
        <v>18</v>
      </c>
      <c r="J45" s="5" t="s">
        <v>154</v>
      </c>
      <c r="K45" s="5" t="s">
        <v>155</v>
      </c>
      <c r="M45" s="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 t="s">
        <v>18</v>
      </c>
      <c r="B46" s="4">
        <v>22.0</v>
      </c>
      <c r="C46" s="5" t="s">
        <v>157</v>
      </c>
      <c r="D46" s="6">
        <v>1.0</v>
      </c>
      <c r="E46" s="5" t="s">
        <v>27</v>
      </c>
      <c r="F46" s="6">
        <v>87.0</v>
      </c>
      <c r="G46" s="6">
        <v>174.0</v>
      </c>
      <c r="H46" s="4"/>
      <c r="I46" s="4" t="s">
        <v>18</v>
      </c>
      <c r="J46" s="5" t="s">
        <v>158</v>
      </c>
      <c r="K46" s="5" t="s">
        <v>159</v>
      </c>
      <c r="L46" s="5" t="s">
        <v>160</v>
      </c>
      <c r="M46" s="5" t="s">
        <v>161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 t="s">
        <v>18</v>
      </c>
      <c r="B47" s="4"/>
      <c r="C47" s="5" t="s">
        <v>162</v>
      </c>
      <c r="D47" s="6">
        <v>1.0</v>
      </c>
      <c r="E47" s="5" t="s">
        <v>27</v>
      </c>
      <c r="F47" s="6">
        <v>87.0</v>
      </c>
      <c r="G47" s="7"/>
      <c r="H47" s="4"/>
      <c r="I47" s="4" t="s">
        <v>18</v>
      </c>
      <c r="J47" s="5" t="s">
        <v>160</v>
      </c>
      <c r="K47" s="5" t="s">
        <v>161</v>
      </c>
      <c r="L47" s="7"/>
      <c r="M47" s="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 t="s">
        <v>18</v>
      </c>
      <c r="B48" s="4">
        <v>23.0</v>
      </c>
      <c r="C48" s="5" t="s">
        <v>163</v>
      </c>
      <c r="D48" s="6">
        <v>1.0</v>
      </c>
      <c r="E48" s="5" t="s">
        <v>34</v>
      </c>
      <c r="F48" s="6">
        <v>61.0</v>
      </c>
      <c r="G48" s="6">
        <v>158.0</v>
      </c>
      <c r="H48" s="4"/>
      <c r="I48" s="4" t="s">
        <v>18</v>
      </c>
      <c r="J48" s="5" t="s">
        <v>164</v>
      </c>
      <c r="K48" s="5" t="s">
        <v>57</v>
      </c>
      <c r="L48" s="5" t="s">
        <v>165</v>
      </c>
      <c r="M48" s="5" t="s">
        <v>166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 t="s">
        <v>18</v>
      </c>
      <c r="B49" s="4"/>
      <c r="C49" s="5" t="s">
        <v>167</v>
      </c>
      <c r="D49" s="6">
        <v>1.0</v>
      </c>
      <c r="E49" s="5" t="s">
        <v>34</v>
      </c>
      <c r="F49" s="6">
        <v>97.0</v>
      </c>
      <c r="G49" s="7"/>
      <c r="H49" s="4"/>
      <c r="I49" s="4" t="s">
        <v>18</v>
      </c>
      <c r="J49" s="5" t="s">
        <v>165</v>
      </c>
      <c r="K49" s="5" t="s">
        <v>166</v>
      </c>
      <c r="L49" s="7"/>
      <c r="M49" s="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 t="s">
        <v>18</v>
      </c>
      <c r="B50" s="4">
        <v>24.0</v>
      </c>
      <c r="C50" s="5" t="s">
        <v>168</v>
      </c>
      <c r="D50" s="6">
        <v>1.0</v>
      </c>
      <c r="E50" s="5" t="s">
        <v>34</v>
      </c>
      <c r="F50" s="6">
        <v>34.0</v>
      </c>
      <c r="G50" s="6">
        <v>152.0</v>
      </c>
      <c r="H50" s="4"/>
      <c r="I50" s="4" t="s">
        <v>18</v>
      </c>
      <c r="J50" s="5" t="s">
        <v>169</v>
      </c>
      <c r="K50" s="5" t="s">
        <v>170</v>
      </c>
      <c r="L50" s="5" t="s">
        <v>171</v>
      </c>
      <c r="M50" s="5" t="s">
        <v>172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 t="s">
        <v>18</v>
      </c>
      <c r="B51" s="4"/>
      <c r="C51" s="5" t="s">
        <v>173</v>
      </c>
      <c r="D51" s="6">
        <v>1.0</v>
      </c>
      <c r="E51" s="5" t="s">
        <v>34</v>
      </c>
      <c r="F51" s="6">
        <v>118.0</v>
      </c>
      <c r="G51" s="7"/>
      <c r="H51" s="4"/>
      <c r="I51" s="4" t="s">
        <v>18</v>
      </c>
      <c r="J51" s="5" t="s">
        <v>171</v>
      </c>
      <c r="K51" s="5" t="s">
        <v>172</v>
      </c>
      <c r="L51" s="7"/>
      <c r="M51" s="7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 t="s">
        <v>18</v>
      </c>
      <c r="B52" s="4">
        <v>25.0</v>
      </c>
      <c r="C52" s="5" t="s">
        <v>174</v>
      </c>
      <c r="D52" s="6">
        <v>1.0</v>
      </c>
      <c r="E52" s="5" t="s">
        <v>27</v>
      </c>
      <c r="F52" s="6">
        <v>133.0</v>
      </c>
      <c r="G52" s="6">
        <v>133.0</v>
      </c>
      <c r="H52" s="4"/>
      <c r="I52" s="4" t="s">
        <v>18</v>
      </c>
      <c r="J52" s="5" t="s">
        <v>175</v>
      </c>
      <c r="K52" s="5" t="s">
        <v>176</v>
      </c>
      <c r="L52" s="5" t="s">
        <v>177</v>
      </c>
      <c r="M52" s="5" t="s">
        <v>42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 t="s">
        <v>18</v>
      </c>
      <c r="B53" s="4"/>
      <c r="C53" s="5" t="s">
        <v>178</v>
      </c>
      <c r="D53" s="6">
        <v>1.0</v>
      </c>
      <c r="E53" s="5" t="s">
        <v>27</v>
      </c>
      <c r="F53" s="6">
        <v>0.0</v>
      </c>
      <c r="G53" s="7"/>
      <c r="H53" s="4"/>
      <c r="I53" s="4" t="s">
        <v>18</v>
      </c>
      <c r="J53" s="5" t="s">
        <v>177</v>
      </c>
      <c r="K53" s="5" t="s">
        <v>42</v>
      </c>
      <c r="L53" s="7"/>
      <c r="M53" s="7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 t="s">
        <v>18</v>
      </c>
      <c r="B54" s="4">
        <v>26.0</v>
      </c>
      <c r="C54" s="5" t="s">
        <v>179</v>
      </c>
      <c r="D54" s="6">
        <v>1.0</v>
      </c>
      <c r="E54" s="5" t="s">
        <v>34</v>
      </c>
      <c r="F54" s="6">
        <v>63.0</v>
      </c>
      <c r="G54" s="6">
        <v>124.0</v>
      </c>
      <c r="H54" s="4"/>
      <c r="I54" s="4" t="s">
        <v>18</v>
      </c>
      <c r="J54" s="5" t="s">
        <v>180</v>
      </c>
      <c r="K54" s="5" t="s">
        <v>181</v>
      </c>
      <c r="L54" s="5" t="s">
        <v>182</v>
      </c>
      <c r="M54" s="5" t="s">
        <v>183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 t="s">
        <v>18</v>
      </c>
      <c r="B55" s="4"/>
      <c r="C55" s="5" t="s">
        <v>184</v>
      </c>
      <c r="D55" s="6">
        <v>1.0</v>
      </c>
      <c r="E55" s="5" t="s">
        <v>185</v>
      </c>
      <c r="F55" s="6">
        <v>61.0</v>
      </c>
      <c r="G55" s="7"/>
      <c r="H55" s="4"/>
      <c r="I55" s="4"/>
      <c r="J55" s="5" t="s">
        <v>182</v>
      </c>
      <c r="K55" s="5" t="s">
        <v>183</v>
      </c>
      <c r="L55" s="7"/>
      <c r="M55" s="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 t="s">
        <v>18</v>
      </c>
      <c r="B56" s="4">
        <v>27.0</v>
      </c>
      <c r="C56" s="5" t="s">
        <v>186</v>
      </c>
      <c r="D56" s="6">
        <v>1.0</v>
      </c>
      <c r="E56" s="5" t="s">
        <v>34</v>
      </c>
      <c r="F56" s="6">
        <v>63.0</v>
      </c>
      <c r="G56" s="6">
        <v>96.0</v>
      </c>
      <c r="H56" s="4"/>
      <c r="I56" s="4" t="s">
        <v>18</v>
      </c>
      <c r="J56" s="5" t="s">
        <v>187</v>
      </c>
      <c r="K56" s="5" t="s">
        <v>111</v>
      </c>
      <c r="L56" s="5" t="s">
        <v>62</v>
      </c>
      <c r="M56" s="5" t="s">
        <v>135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 t="s">
        <v>18</v>
      </c>
      <c r="B57" s="4"/>
      <c r="C57" s="5" t="s">
        <v>188</v>
      </c>
      <c r="D57" s="6">
        <v>1.0</v>
      </c>
      <c r="E57" s="5" t="s">
        <v>34</v>
      </c>
      <c r="F57" s="6">
        <v>33.0</v>
      </c>
      <c r="G57" s="7"/>
      <c r="H57" s="4"/>
      <c r="I57" s="4"/>
      <c r="J57" s="5" t="s">
        <v>62</v>
      </c>
      <c r="K57" s="5" t="s">
        <v>135</v>
      </c>
      <c r="L57" s="7"/>
      <c r="M57" s="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 t="s">
        <v>18</v>
      </c>
      <c r="B58" s="4">
        <v>28.0</v>
      </c>
      <c r="C58" s="5" t="s">
        <v>189</v>
      </c>
      <c r="D58" s="6">
        <v>1.0</v>
      </c>
      <c r="E58" s="5" t="s">
        <v>34</v>
      </c>
      <c r="F58" s="6">
        <v>14.0</v>
      </c>
      <c r="G58" s="6">
        <v>56.0</v>
      </c>
      <c r="H58" s="4"/>
      <c r="I58" s="4" t="s">
        <v>18</v>
      </c>
      <c r="J58" s="5" t="s">
        <v>190</v>
      </c>
      <c r="K58" s="5" t="s">
        <v>191</v>
      </c>
      <c r="L58" s="5" t="s">
        <v>192</v>
      </c>
      <c r="M58" s="5" t="s">
        <v>193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 t="s">
        <v>18</v>
      </c>
      <c r="B59" s="4"/>
      <c r="C59" s="5" t="s">
        <v>194</v>
      </c>
      <c r="D59" s="6">
        <v>1.0</v>
      </c>
      <c r="E59" s="5" t="s">
        <v>34</v>
      </c>
      <c r="F59" s="6">
        <v>42.0</v>
      </c>
      <c r="G59" s="7"/>
      <c r="H59" s="4"/>
      <c r="I59" s="4"/>
      <c r="J59" s="5" t="s">
        <v>192</v>
      </c>
      <c r="K59" s="5" t="s">
        <v>193</v>
      </c>
      <c r="L59" s="7"/>
      <c r="M59" s="7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K23:L23"/>
    <mergeCell ref="K33:L33"/>
    <mergeCell ref="K35:L35"/>
    <mergeCell ref="K45:L45"/>
  </mergeCells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3" width="40.71"/>
    <col customWidth="1" min="4" max="4" width="15.71"/>
    <col customWidth="1" min="5" max="22" width="11.43"/>
  </cols>
  <sheetData>
    <row r="1" ht="24.75" customHeight="1">
      <c r="A1" s="8" t="s">
        <v>195</v>
      </c>
      <c r="B1" s="9"/>
      <c r="C1" s="9"/>
      <c r="D1" s="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24.75" customHeight="1">
      <c r="A2" s="10" t="s">
        <v>196</v>
      </c>
      <c r="B2" s="11" t="s">
        <v>197</v>
      </c>
      <c r="C2" s="11" t="s">
        <v>198</v>
      </c>
      <c r="D2" s="12" t="s">
        <v>23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24.75" customHeight="1">
      <c r="A3" s="13"/>
      <c r="B3" s="14" t="s">
        <v>199</v>
      </c>
      <c r="C3" s="14" t="s">
        <v>199</v>
      </c>
      <c r="D3" s="1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24.75" customHeight="1">
      <c r="A4" s="15">
        <v>1.0</v>
      </c>
      <c r="B4" s="16" t="str">
        <f>Data!$C4</f>
        <v>BAUER Astrid</v>
      </c>
      <c r="C4" s="16" t="str">
        <f>Data!$C5</f>
        <v>HASELSTEINER Sophie</v>
      </c>
      <c r="D4" s="17">
        <f t="array" ref="D4">IF(C4&lt;&gt;"",INDEX(Data!$G$4:$G$59,((ROW()-3)*2)-1,1),"")</f>
        <v>1032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24.75" customHeight="1">
      <c r="A5" s="18">
        <v>2.0</v>
      </c>
      <c r="B5" s="16" t="str">
        <f>Data!$C6</f>
        <v>ELSNER Karin</v>
      </c>
      <c r="C5" s="16" t="str">
        <f>Data!$C7</f>
        <v>PFAU Jennifer</v>
      </c>
      <c r="D5" s="17">
        <f t="array" ref="D5">IF(C5&lt;&gt;"",INDEX(Data!$G$4:$G$59,((ROW()-3)*2)-1,1),"")</f>
        <v>960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24.75" customHeight="1">
      <c r="A6" s="18">
        <v>3.0</v>
      </c>
      <c r="B6" s="16" t="str">
        <f>Data!$C8</f>
        <v>HOFSTETTER Anja</v>
      </c>
      <c r="C6" s="16" t="str">
        <f>Data!$C9</f>
        <v>SHKARUPA Oleksandra</v>
      </c>
      <c r="D6" s="19">
        <f t="array" ref="D6">IF(C6&lt;&gt;"",INDEX(Data!$G$4:$G$59,((ROW()-3)*2)-1,1),"")</f>
        <v>833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24.75" customHeight="1">
      <c r="A7" s="18">
        <v>4.0</v>
      </c>
      <c r="B7" s="16" t="str">
        <f>Data!$C10</f>
        <v>KREMSER Rebekka Maria</v>
      </c>
      <c r="C7" s="16" t="str">
        <f>Data!$C11</f>
        <v>MASCHERBAUER Katharina</v>
      </c>
      <c r="D7" s="19">
        <f t="array" ref="D7">IF(C7&lt;&gt;"",INDEX(Data!$G$4:$G$59,((ROW()-3)*2)-1,1),"")</f>
        <v>823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ht="24.75" customHeight="1">
      <c r="A8" s="18">
        <v>5.0</v>
      </c>
      <c r="B8" s="16" t="str">
        <f>Data!$C12</f>
        <v>BISANZ Saskia</v>
      </c>
      <c r="C8" s="16" t="str">
        <f>Data!$C13</f>
        <v>HAMMARBERG Anna</v>
      </c>
      <c r="D8" s="19">
        <f t="array" ref="D8">IF(C8&lt;&gt;"",INDEX(Data!$G$4:$G$59,((ROW()-3)*2)-1,1),"")</f>
        <v>796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ht="24.75" customHeight="1">
      <c r="A9" s="18">
        <v>6.0</v>
      </c>
      <c r="B9" s="16" t="str">
        <f>Data!$C14</f>
        <v>SCHLAX Larissa Christine</v>
      </c>
      <c r="C9" s="16" t="str">
        <f>Data!$C15</f>
        <v>WAGNER Agnes</v>
      </c>
      <c r="D9" s="19">
        <f t="array" ref="D9">IF(C9&lt;&gt;"",INDEX(Data!$G$4:$G$59,((ROW()-3)*2)-1,1),"")</f>
        <v>469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ht="24.75" customHeight="1">
      <c r="A10" s="18">
        <v>7.0</v>
      </c>
      <c r="B10" s="16" t="str">
        <f>Data!$C16</f>
        <v>HOCHREITER Anita</v>
      </c>
      <c r="C10" s="16" t="str">
        <f>Data!$C17</f>
        <v>WINDISCH Kerstin</v>
      </c>
      <c r="D10" s="19">
        <f t="array" ref="D10">IF(C10&lt;&gt;"",INDEX(Data!$G$4:$G$59,((ROW()-3)*2)-1,1),"")</f>
        <v>460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ht="24.75" customHeight="1">
      <c r="A11" s="18">
        <v>8.0</v>
      </c>
      <c r="B11" s="16" t="str">
        <f>Data!$C18</f>
        <v>PANY Alexandra</v>
      </c>
      <c r="C11" s="16" t="str">
        <f>Data!$C19</f>
        <v>PALENCZAT Luise</v>
      </c>
      <c r="D11" s="19">
        <f t="array" ref="D11">IF(C11&lt;&gt;"",INDEX(Data!$G$4:$G$59,((ROW()-3)*2)-1,1),"")</f>
        <v>435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ht="24.75" customHeight="1">
      <c r="A12" s="18">
        <v>9.0</v>
      </c>
      <c r="B12" s="16" t="str">
        <f>Data!$C20</f>
        <v>PARKANYI Adrienn</v>
      </c>
      <c r="C12" s="16" t="str">
        <f>Data!$C21</f>
        <v>FAVARETTO Martina</v>
      </c>
      <c r="D12" s="19">
        <f t="array" ref="D12">IF(C12&lt;&gt;"",INDEX(Data!$G$4:$G$59,((ROW()-3)*2)-1,1),"")</f>
        <v>349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ht="24.75" customHeight="1">
      <c r="A13" s="18">
        <v>10.0</v>
      </c>
      <c r="B13" s="16" t="str">
        <f>Data!$C22</f>
        <v>BOYD Alisa Zoe</v>
      </c>
      <c r="C13" s="16" t="str">
        <f>Data!$C23</f>
        <v>STEGMÜLLER Franziska Antonia</v>
      </c>
      <c r="D13" s="19">
        <f t="array" ref="D13">IF(C13&lt;&gt;"",INDEX(Data!$G$4:$G$59,((ROW()-3)*2)-1,1),"")</f>
        <v>335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ht="24.75" customHeight="1">
      <c r="A14" s="18">
        <v>11.0</v>
      </c>
      <c r="B14" s="16" t="str">
        <f>IF(ISBLANK(Data!$C24),"",Data!$C24)</f>
        <v>HEISZENBERGER Elisabeth</v>
      </c>
      <c r="C14" s="16" t="str">
        <f>IF(ISBLANK(Data!$C25),"",Data!$C25)</f>
        <v>WAJDA Aleksandra</v>
      </c>
      <c r="D14" s="19">
        <f t="array" ref="D14">IF(C14&lt;&gt;"",INDEX(Data!$G$4:$G$59,((ROW()-3)*2)-1,1),"")</f>
        <v>335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ht="24.75" customHeight="1">
      <c r="A15" s="18">
        <v>12.0</v>
      </c>
      <c r="B15" s="16" t="str">
        <f>IF(ISBLANK(Data!$C26),"",Data!$C26)</f>
        <v>HAGER Klara</v>
      </c>
      <c r="C15" s="16" t="str">
        <f>IF(ISBLANK(Data!$C27),"",Data!$C27)</f>
        <v>WICHO Valerie</v>
      </c>
      <c r="D15" s="19">
        <f t="array" ref="D15">IF(C15&lt;&gt;"",INDEX(Data!$G$4:$G$59,((ROW()-3)*2)-1,1),"")</f>
        <v>332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ht="24.75" customHeight="1">
      <c r="A16" s="18">
        <v>13.0</v>
      </c>
      <c r="B16" s="16" t="str">
        <f>IF(ISBLANK(Data!$C28),"",Data!$C28)</f>
        <v>SZUDA Zsanett</v>
      </c>
      <c r="C16" s="16" t="str">
        <f>IF(ISBLANK(Data!$C29),"",Data!$C29)</f>
        <v>STÜRZ Maria</v>
      </c>
      <c r="D16" s="19">
        <f t="array" ref="D16">IF(C16&lt;&gt;"",INDEX(Data!$G$4:$G$59,((ROW()-3)*2)-1,1),"")</f>
        <v>320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ht="24.75" customHeight="1">
      <c r="A17" s="18">
        <v>14.0</v>
      </c>
      <c r="B17" s="16" t="str">
        <f>IF(ISBLANK(Data!$C30),"",Data!$C30)</f>
        <v>TRIBELNIG Marlene</v>
      </c>
      <c r="C17" s="16" t="str">
        <f>IF(ISBLANK(Data!$C31),"",Data!$C31)</f>
        <v>WEINDL Lisa</v>
      </c>
      <c r="D17" s="19">
        <f t="array" ref="D17">IF(C17&lt;&gt;"",INDEX(Data!$G$4:$G$59,((ROW()-3)*2)-1,1),"")</f>
        <v>310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ht="24.75" customHeight="1">
      <c r="A18" s="18">
        <v>15.0</v>
      </c>
      <c r="B18" s="16" t="str">
        <f>IF(ISBLANK(Data!$C32),"",Data!$C32)</f>
        <v>MATĚJKOVÁ Kateřina</v>
      </c>
      <c r="C18" s="16" t="str">
        <f>IF(ISBLANK(Data!$C33),"",Data!$C33)</f>
        <v>SANCHEZ Milla Marjukka</v>
      </c>
      <c r="D18" s="19">
        <f t="array" ref="D18">IF(C18&lt;&gt;"",INDEX(Data!$G$4:$G$59,((ROW()-3)*2)-1,1),"")</f>
        <v>290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ht="24.75" customHeight="1">
      <c r="A19" s="18">
        <v>16.0</v>
      </c>
      <c r="B19" s="16" t="str">
        <f>IF(ISBLANK(Data!$C34),"",Data!$C34)</f>
        <v>YESSIMOVA Aislu</v>
      </c>
      <c r="C19" s="16" t="str">
        <f>IF(ISBLANK(Data!$C35),"",Data!$C35)</f>
        <v>GLANNINGER Jana Charlotte</v>
      </c>
      <c r="D19" s="19">
        <f t="array" ref="D19">IF(C19&lt;&gt;"",INDEX(Data!$G$4:$G$59,((ROW()-3)*2)-1,1),"")</f>
        <v>290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ht="24.75" customHeight="1">
      <c r="A20" s="18">
        <v>17.0</v>
      </c>
      <c r="B20" s="16" t="str">
        <f>IF(ISBLANK(Data!$C36),"",Data!$C36)</f>
        <v>PAUMANN Mia</v>
      </c>
      <c r="C20" s="16" t="str">
        <f>IF(ISBLANK(Data!$C37),"",Data!$C37)</f>
        <v>ANGERER Leonie</v>
      </c>
      <c r="D20" s="19">
        <f t="array" ref="D20">IF(C20&lt;&gt;"",INDEX(Data!$G$4:$G$59,((ROW()-3)*2)-1,1),"")</f>
        <v>285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ht="24.75" customHeight="1">
      <c r="A21" s="18">
        <v>18.0</v>
      </c>
      <c r="B21" s="16" t="str">
        <f>IF(ISBLANK(Data!$C38),"",Data!$C38)</f>
        <v>BEYER Eva</v>
      </c>
      <c r="C21" s="16" t="str">
        <f>IF(ISBLANK(Data!$C39),"",Data!$C39)</f>
        <v>SCHINAGL Annika</v>
      </c>
      <c r="D21" s="19">
        <f t="array" ref="D21">IF(C21&lt;&gt;"",INDEX(Data!$G$4:$G$59,((ROW()-3)*2)-1,1),"")</f>
        <v>267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ht="24.75" customHeight="1">
      <c r="A22" s="18">
        <v>19.0</v>
      </c>
      <c r="B22" s="16" t="str">
        <f>IF(ISBLANK(Data!$C40),"",Data!$C40)</f>
        <v>FERSTL-SCHMID Helena Inka</v>
      </c>
      <c r="C22" s="16" t="str">
        <f>IF(ISBLANK(Data!$C41),"",Data!$C41)</f>
        <v>AIGNER Laura</v>
      </c>
      <c r="D22" s="19">
        <f t="array" ref="D22">IF(C22&lt;&gt;"",INDEX(Data!$G$4:$G$59,((ROW()-3)*2)-1,1),"")</f>
        <v>222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ht="24.75" customHeight="1">
      <c r="A23" s="18">
        <v>20.0</v>
      </c>
      <c r="B23" s="16" t="str">
        <f>IF(ISBLANK(Data!$C42),"",Data!$C42)</f>
        <v>HAYDN Flora</v>
      </c>
      <c r="C23" s="16" t="str">
        <f>IF(ISBLANK(Data!$C43),"",Data!$C43)</f>
        <v>DÜRNITZHOFER Zoe</v>
      </c>
      <c r="D23" s="19">
        <f t="array" ref="D23">IF(C23&lt;&gt;"",INDEX(Data!$G$4:$G$59,((ROW()-3)*2)-1,1),"")</f>
        <v>189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ht="24.75" customHeight="1">
      <c r="A24" s="18">
        <v>21.0</v>
      </c>
      <c r="B24" s="16" t="str">
        <f>IF(ISBLANK(Data!$C44),"",Data!$C44)</f>
        <v>MARK Johanna</v>
      </c>
      <c r="C24" s="16" t="str">
        <f>IF(ISBLANK(Data!$C45),"",Data!$C45)</f>
        <v>WOLF Lea Katharina</v>
      </c>
      <c r="D24" s="19">
        <f t="array" ref="D24">IF(C24&lt;&gt;"",INDEX(Data!$G$4:$G$59,((ROW()-3)*2)-1,1),"")</f>
        <v>184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ht="24.75" customHeight="1">
      <c r="A25" s="18">
        <v>22.0</v>
      </c>
      <c r="B25" s="16" t="str">
        <f>IF(ISBLANK(Data!$C46),"",Data!$C46)</f>
        <v>PICHLER Florentina</v>
      </c>
      <c r="C25" s="16" t="str">
        <f>IF(ISBLANK(Data!$C47),"",Data!$C47)</f>
        <v>GRAF Viktoria</v>
      </c>
      <c r="D25" s="19">
        <f t="array" ref="D25">IF(C25&lt;&gt;"",INDEX(Data!$G$4:$G$59,((ROW()-3)*2)-1,1),"")</f>
        <v>174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ht="24.75" customHeight="1">
      <c r="A26" s="18">
        <v>23.0</v>
      </c>
      <c r="B26" s="16" t="str">
        <f>IF(ISBLANK(Data!$C48),"",Data!$C48)</f>
        <v>GIFFINGER Anna</v>
      </c>
      <c r="C26" s="16" t="str">
        <f>IF(ISBLANK(Data!$C49),"",Data!$C49)</f>
        <v>FREY Isabella</v>
      </c>
      <c r="D26" s="19">
        <f t="array" ref="D26">IF(C26&lt;&gt;"",INDEX(Data!$G$4:$G$59,((ROW()-3)*2)-1,1),"")</f>
        <v>158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ht="24.75" customHeight="1">
      <c r="A27" s="18">
        <v>24.0</v>
      </c>
      <c r="B27" s="16" t="str">
        <f>IF(ISBLANK(Data!$C50),"",Data!$C50)</f>
        <v>SCHENK Anna Magdalena</v>
      </c>
      <c r="C27" s="16" t="str">
        <f>IF(ISBLANK(Data!$C51),"",Data!$C51)</f>
        <v>SCHWARZ Melanie</v>
      </c>
      <c r="D27" s="19">
        <f t="array" ref="D27">IF(C27&lt;&gt;"",INDEX(Data!$G$4:$G$59,((ROW()-3)*2)-1,1),"")</f>
        <v>152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ht="24.75" customHeight="1">
      <c r="A28" s="18">
        <v>25.0</v>
      </c>
      <c r="B28" s="16" t="str">
        <f>IF(ISBLANK(Data!$C52),"",Data!$C52)</f>
        <v>PRINZHORN Nike</v>
      </c>
      <c r="C28" s="16" t="str">
        <f>IF(ISBLANK(Data!$C53),"",Data!$C53)</f>
        <v>SALLMANNSHOFER Anja</v>
      </c>
      <c r="D28" s="19">
        <f t="array" ref="D28">IF(C28&lt;&gt;"",INDEX(Data!$G$4:$G$59,((ROW()-3)*2)-1,1),"")</f>
        <v>133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ht="24.75" customHeight="1">
      <c r="A29" s="18">
        <v>26.0</v>
      </c>
      <c r="B29" s="16" t="str">
        <f>IF(ISBLANK(Data!$C54),"",Data!$C54)</f>
        <v>KAMIENIARZ Louisa</v>
      </c>
      <c r="C29" s="16" t="str">
        <f>IF(ISBLANK(Data!$C55),"",Data!$C55)</f>
        <v>SAMS Nina</v>
      </c>
      <c r="D29" s="19">
        <f t="array" ref="D29">IF(C29&lt;&gt;"",INDEX(Data!$G$4:$G$59,((ROW()-3)*2)-1,1),"")</f>
        <v>124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ht="24.75" customHeight="1">
      <c r="A30" s="18">
        <v>27.0</v>
      </c>
      <c r="B30" s="16" t="str">
        <f>IF(ISBLANK(Data!$C56),"",Data!$C56)</f>
        <v>MACINKOVIC Marlene</v>
      </c>
      <c r="C30" s="16" t="str">
        <f>IF(ISBLANK(Data!$C57),"",Data!$C57)</f>
        <v>WAGNER Eva</v>
      </c>
      <c r="D30" s="19">
        <f t="array" ref="D30">IF(C30&lt;&gt;"",INDEX(Data!$G$4:$G$59,((ROW()-3)*2)-1,1),"")</f>
        <v>96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ht="24.75" customHeight="1">
      <c r="A31" s="20">
        <v>28.0</v>
      </c>
      <c r="B31" s="21" t="str">
        <f>IF(ISBLANK(Data!$C58),"",Data!$C58)</f>
        <v>SCHUSTER Caroline</v>
      </c>
      <c r="C31" s="21" t="str">
        <f>IF(ISBLANK(Data!$C59),"",Data!$C59)</f>
        <v>MASSIN Marion</v>
      </c>
      <c r="D31" s="22">
        <f t="array" ref="D31">IF(C31&lt;&gt;"",INDEX(Data!$G$4:$G$59,((ROW()-3)*2)-1,1),"")</f>
        <v>56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ht="24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ht="24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ht="24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ht="24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ht="24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ht="24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ht="24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ht="24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ht="24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ht="24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ht="24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ht="24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ht="24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ht="24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ht="24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ht="24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ht="24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ht="24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ht="24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ht="24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ht="24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ht="24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ht="24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ht="24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ht="24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ht="24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ht="24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ht="24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ht="24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ht="24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ht="24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ht="24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ht="24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ht="24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ht="24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ht="24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ht="24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ht="24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ht="24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ht="24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ht="24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ht="24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ht="24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ht="24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ht="24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ht="24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ht="24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ht="24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ht="24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ht="24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ht="24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ht="24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ht="24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ht="24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ht="24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ht="24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ht="24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ht="24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ht="24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ht="24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ht="24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ht="24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ht="24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ht="24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ht="24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ht="24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ht="24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ht="24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ht="24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ht="24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ht="24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ht="24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ht="24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ht="24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ht="24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ht="24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ht="24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ht="24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ht="24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ht="24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ht="24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ht="24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ht="24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ht="24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ht="24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ht="24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ht="24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ht="24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ht="24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ht="24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ht="24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ht="24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ht="24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ht="24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ht="24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ht="24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ht="24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ht="24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ht="24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ht="24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ht="24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ht="24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ht="24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ht="24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ht="24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ht="24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ht="24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ht="24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ht="24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ht="24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ht="24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ht="24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ht="24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ht="24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ht="24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ht="24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ht="24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ht="24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ht="24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ht="24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ht="24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ht="24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ht="24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ht="24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ht="24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ht="24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ht="24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ht="24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ht="24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ht="24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ht="24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ht="24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ht="24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ht="24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ht="24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ht="24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ht="24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ht="24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ht="24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ht="24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ht="24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ht="24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ht="24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ht="24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ht="24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ht="24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ht="24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ht="24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ht="24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ht="24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ht="24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ht="24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ht="24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ht="24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ht="24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ht="24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ht="24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ht="24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ht="24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ht="24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ht="24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ht="24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ht="24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ht="24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ht="24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ht="24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ht="24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ht="24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ht="24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ht="24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ht="24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ht="24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ht="24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ht="24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ht="24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ht="24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ht="24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ht="24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ht="24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ht="24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ht="24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ht="24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ht="24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ht="24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ht="24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ht="24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ht="24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ht="24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ht="24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ht="24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ht="24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ht="24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ht="24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ht="24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ht="24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ht="24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ht="24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ht="24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ht="24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ht="24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ht="24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ht="24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ht="24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ht="24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ht="24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ht="24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ht="24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ht="24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ht="24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ht="24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ht="24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ht="24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ht="24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ht="24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ht="24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ht="24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ht="24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ht="24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ht="24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ht="24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ht="24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ht="24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ht="24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ht="24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ht="24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ht="24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ht="24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ht="24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ht="24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ht="24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ht="24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ht="24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ht="24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ht="24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ht="24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ht="24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ht="24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ht="24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ht="24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ht="24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ht="24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ht="24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ht="24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ht="24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ht="24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ht="24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ht="24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ht="24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ht="24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ht="24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ht="24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ht="24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ht="24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ht="24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ht="24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ht="24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ht="24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ht="24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ht="24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ht="24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ht="24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ht="24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ht="24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ht="24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ht="24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ht="24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ht="24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ht="24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ht="24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ht="24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ht="24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ht="24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ht="24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ht="24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ht="24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ht="24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ht="24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ht="24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ht="24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ht="24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ht="24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ht="24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ht="24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ht="24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ht="24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ht="24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ht="24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ht="24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ht="24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ht="24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ht="24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ht="24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ht="24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ht="24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ht="24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ht="24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ht="24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ht="24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ht="24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ht="24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ht="24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ht="24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ht="24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ht="24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ht="24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ht="24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ht="24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ht="24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ht="24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ht="24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ht="24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ht="24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ht="24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ht="24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ht="24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ht="24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ht="24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ht="24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ht="24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ht="24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ht="24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ht="24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ht="24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ht="24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ht="24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ht="24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ht="24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ht="24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ht="24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ht="24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ht="24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ht="24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ht="24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ht="24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ht="24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ht="24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ht="24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ht="24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ht="24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ht="24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ht="24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ht="24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ht="24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ht="24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ht="24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ht="24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ht="24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ht="24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ht="24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ht="24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ht="24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ht="24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ht="24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ht="24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ht="24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ht="24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ht="24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ht="24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ht="24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ht="24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ht="24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ht="24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ht="24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ht="24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ht="24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ht="24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ht="24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ht="24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ht="24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ht="24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ht="24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ht="24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ht="24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ht="24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ht="24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ht="24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ht="24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ht="24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ht="24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ht="24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ht="24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ht="24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ht="24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ht="24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ht="24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ht="24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ht="24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ht="24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ht="24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ht="24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ht="24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ht="24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ht="24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ht="24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ht="24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ht="24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ht="24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ht="24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ht="24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ht="24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ht="24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ht="24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ht="24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ht="24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ht="24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ht="24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ht="24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ht="24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ht="24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ht="24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ht="24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ht="24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ht="24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ht="24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ht="24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ht="24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ht="24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ht="24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ht="24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ht="24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ht="24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ht="24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ht="24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ht="24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ht="24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ht="24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ht="24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ht="24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ht="24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ht="24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ht="24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ht="24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ht="24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ht="24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ht="24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ht="24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ht="24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ht="24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ht="24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ht="24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ht="24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ht="24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ht="24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ht="24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ht="24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ht="24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ht="24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ht="24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ht="24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ht="24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ht="24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ht="24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ht="24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ht="24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ht="24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ht="24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ht="24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ht="24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ht="24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ht="24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ht="24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ht="24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ht="24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ht="24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ht="24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ht="24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ht="24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ht="24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ht="24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ht="24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ht="24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ht="24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ht="24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ht="24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ht="24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ht="24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ht="24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ht="24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ht="24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ht="24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ht="24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ht="24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ht="24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ht="24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ht="24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ht="24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ht="24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ht="24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ht="24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ht="24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ht="24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ht="24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ht="24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ht="24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ht="24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ht="24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ht="24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ht="24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ht="24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ht="24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ht="24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ht="24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ht="24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ht="24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ht="24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ht="24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ht="24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ht="24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ht="24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ht="24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ht="24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ht="24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ht="24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ht="24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ht="24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ht="24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ht="24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ht="24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ht="24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ht="24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ht="24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ht="24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ht="24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ht="24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ht="24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ht="24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ht="24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ht="24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ht="24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ht="24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ht="24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ht="24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ht="24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ht="24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ht="24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ht="24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ht="24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ht="24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ht="24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ht="24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ht="24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ht="24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ht="24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ht="24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ht="24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ht="24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ht="24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ht="24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ht="24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ht="24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ht="24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ht="24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ht="24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ht="24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ht="24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ht="24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ht="24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ht="24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ht="24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ht="24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ht="24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ht="24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ht="24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ht="24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ht="24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ht="24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ht="24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ht="24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ht="24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ht="24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ht="24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ht="24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ht="24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ht="24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ht="24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ht="24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ht="24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ht="24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ht="24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ht="24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ht="24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ht="24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ht="24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ht="24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ht="24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ht="24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ht="24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ht="24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ht="24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ht="24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ht="24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ht="24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ht="24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ht="24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ht="24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ht="24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ht="24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ht="24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ht="24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ht="24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ht="24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ht="24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ht="24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ht="24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ht="24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ht="24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ht="24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ht="24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ht="24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ht="24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ht="24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ht="24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ht="24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ht="24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ht="24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ht="24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ht="24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ht="24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ht="24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ht="24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ht="24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ht="24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ht="24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ht="24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ht="24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ht="24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ht="24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ht="24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ht="24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ht="24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ht="24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ht="24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ht="24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ht="24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ht="24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ht="24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ht="24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ht="24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ht="24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ht="24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ht="24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ht="24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ht="24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ht="24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ht="24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ht="24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ht="24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ht="24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ht="24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ht="24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ht="24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ht="24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ht="24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ht="24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ht="24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ht="24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ht="24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ht="24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ht="24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ht="24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ht="24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ht="24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ht="24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ht="24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ht="24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ht="24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ht="24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ht="24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ht="24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ht="24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ht="24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ht="24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ht="24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ht="24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ht="24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ht="24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ht="24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ht="24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ht="24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ht="24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ht="24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ht="24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ht="24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ht="24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ht="24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ht="24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ht="24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ht="24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ht="24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ht="24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ht="24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ht="24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ht="24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ht="24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ht="24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ht="24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ht="24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ht="24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ht="24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ht="24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ht="24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ht="24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ht="24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ht="24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ht="24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ht="24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ht="24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ht="24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ht="24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ht="24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ht="24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ht="24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ht="24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ht="24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ht="24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ht="24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ht="24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ht="24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ht="24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ht="24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ht="24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ht="24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ht="24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ht="24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ht="24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ht="24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ht="24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ht="24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ht="24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ht="24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ht="24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ht="24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ht="24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ht="24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ht="24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ht="24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ht="24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ht="24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ht="24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ht="24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ht="24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ht="24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ht="24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ht="24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ht="24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ht="24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ht="24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ht="24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ht="24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ht="24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ht="24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ht="24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ht="24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ht="24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ht="24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ht="24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ht="24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ht="24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ht="24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ht="24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ht="24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ht="24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ht="24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ht="24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ht="24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ht="24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ht="24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ht="24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ht="24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ht="24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ht="24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ht="24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ht="24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ht="24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ht="24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ht="24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ht="24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ht="24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ht="24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ht="24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ht="24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ht="24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ht="24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ht="24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ht="24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ht="24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ht="24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ht="24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ht="24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ht="24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ht="24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ht="24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ht="24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ht="24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ht="24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ht="24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ht="24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ht="24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ht="24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ht="24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ht="24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ht="24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ht="24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ht="24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ht="24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ht="24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ht="24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ht="24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ht="24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ht="24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ht="24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ht="24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ht="24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ht="24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ht="24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ht="24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ht="24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ht="24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ht="24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ht="24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ht="24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ht="24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ht="24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ht="24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ht="24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ht="24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ht="24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ht="24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ht="24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ht="24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ht="24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ht="24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ht="24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ht="24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ht="24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ht="24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ht="24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ht="24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ht="24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ht="24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ht="24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ht="24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ht="24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ht="24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ht="24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ht="24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ht="24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ht="24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ht="24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ht="24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ht="24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ht="24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ht="24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ht="24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ht="24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ht="24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ht="24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ht="24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ht="24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ht="24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ht="24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ht="24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ht="24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ht="24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ht="24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ht="24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ht="24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ht="24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ht="24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ht="24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ht="24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ht="24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ht="24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ht="24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ht="24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ht="24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ht="24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ht="24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ht="24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ht="24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ht="24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ht="24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ht="24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ht="24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ht="24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ht="24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ht="24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ht="24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ht="24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ht="24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ht="24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ht="24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ht="24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ht="24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ht="24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ht="24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ht="24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ht="24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ht="24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ht="24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ht="24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ht="24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ht="24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ht="24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ht="24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ht="24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ht="24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ht="24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ht="24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ht="24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ht="24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ht="24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ht="24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ht="24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ht="24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ht="24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ht="24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ht="24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ht="24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ht="24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ht="24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ht="24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ht="24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ht="24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ht="24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ht="24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ht="24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ht="24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ht="24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ht="24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ht="24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ht="24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ht="24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ht="24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ht="24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ht="24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ht="24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ht="24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ht="24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ht="24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ht="24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ht="24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ht="24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ht="24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ht="24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ht="24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ht="24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ht="24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ht="24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ht="24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ht="24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ht="24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ht="24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ht="24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ht="24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ht="24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ht="24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ht="24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ht="24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ht="24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ht="24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ht="24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ht="24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ht="24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ht="24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ht="24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ht="24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ht="24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ht="24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mergeCells count="3">
    <mergeCell ref="A1:D1"/>
    <mergeCell ref="A2:A3"/>
    <mergeCell ref="D2:D3"/>
  </mergeCells>
  <printOptions horizontalCentered="1"/>
  <pageMargins bottom="0.1968503937007874" footer="0.0" header="0.0" left="0.2755905511811024" right="0.2755905511811024" top="0.196850393700787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31.0"/>
    <col customWidth="1" min="3" max="3" width="12.71"/>
    <col customWidth="1" min="4" max="4" width="13.86"/>
    <col customWidth="1" hidden="1" min="5" max="5" width="17.57"/>
    <col customWidth="1" min="6" max="6" width="10.71"/>
    <col customWidth="1" min="7" max="7" width="26.0"/>
    <col customWidth="1" min="8" max="8" width="5.43"/>
    <col customWidth="1" min="9" max="26" width="10.71"/>
  </cols>
  <sheetData>
    <row r="1">
      <c r="A1" s="23" t="s">
        <v>200</v>
      </c>
      <c r="B1" s="23" t="s">
        <v>201</v>
      </c>
      <c r="C1" s="24" t="s">
        <v>202</v>
      </c>
      <c r="D1" s="24" t="s">
        <v>203</v>
      </c>
      <c r="E1" s="24" t="s">
        <v>204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26" t="s">
        <v>205</v>
      </c>
      <c r="B2" s="26" t="str">
        <f>CONCATENATE(Data!J4," / ",Data!L4)</f>
        <v>BAUER / HASELSTEINER</v>
      </c>
      <c r="C2" s="26">
        <v>1.0</v>
      </c>
      <c r="D2" s="27">
        <f>Nennliste!D4</f>
        <v>1032</v>
      </c>
      <c r="E2" s="26"/>
      <c r="F2" s="25"/>
      <c r="G2" s="28"/>
      <c r="H2" s="2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26" t="s">
        <v>205</v>
      </c>
      <c r="B3" s="26" t="str">
        <f>CONCATENATE(Data!J6," / ",Data!L6)</f>
        <v>ELSNER / PFAU</v>
      </c>
      <c r="C3" s="26">
        <v>2.0</v>
      </c>
      <c r="D3" s="27">
        <f>Nennliste!D5</f>
        <v>960</v>
      </c>
      <c r="E3" s="26"/>
      <c r="F3" s="25"/>
      <c r="G3" s="28"/>
      <c r="H3" s="28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26" t="s">
        <v>205</v>
      </c>
      <c r="B4" s="26" t="str">
        <f>CONCATENATE(Data!J8," / ",Data!L8)</f>
        <v>HOFSTETTER / SHKARUPA</v>
      </c>
      <c r="C4" s="26">
        <v>3.0</v>
      </c>
      <c r="D4" s="27">
        <f>Nennliste!D6</f>
        <v>833</v>
      </c>
      <c r="E4" s="26"/>
      <c r="F4" s="25"/>
      <c r="G4" s="28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26" t="s">
        <v>205</v>
      </c>
      <c r="B5" s="26" t="str">
        <f>CONCATENATE(Data!J10," / ",Data!L10)</f>
        <v>KREMSER / MASCHERBAUER</v>
      </c>
      <c r="C5" s="26">
        <v>4.0</v>
      </c>
      <c r="D5" s="27">
        <f>Nennliste!D7</f>
        <v>823</v>
      </c>
      <c r="E5" s="26"/>
      <c r="F5" s="25"/>
      <c r="G5" s="28"/>
      <c r="H5" s="28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>
      <c r="A6" s="26" t="s">
        <v>205</v>
      </c>
      <c r="B6" s="26" t="str">
        <f>CONCATENATE(Data!J12," / ",Data!L12)</f>
        <v>BISANZ / HAMMARBERG</v>
      </c>
      <c r="C6" s="26">
        <v>5.0</v>
      </c>
      <c r="D6" s="27">
        <f>Nennliste!D8</f>
        <v>796</v>
      </c>
      <c r="E6" s="26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>
      <c r="A7" s="26" t="s">
        <v>205</v>
      </c>
      <c r="B7" s="26" t="str">
        <f>CONCATENATE(Data!J14," / ",Data!L14)</f>
        <v>SCHLAX / WAGNER</v>
      </c>
      <c r="C7" s="26">
        <v>6.0</v>
      </c>
      <c r="D7" s="27">
        <f>Nennliste!D9</f>
        <v>469</v>
      </c>
      <c r="E7" s="26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>
      <c r="A8" s="26" t="s">
        <v>205</v>
      </c>
      <c r="B8" s="26" t="str">
        <f>CONCATENATE(Data!J16," / ",Data!L16)</f>
        <v>HOCHREITER / WINDISCH</v>
      </c>
      <c r="C8" s="26">
        <v>7.0</v>
      </c>
      <c r="D8" s="27">
        <f>Nennliste!D10</f>
        <v>460</v>
      </c>
      <c r="E8" s="26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>
      <c r="A9" s="26" t="s">
        <v>205</v>
      </c>
      <c r="B9" s="26" t="str">
        <f>CONCATENATE(Data!J18," / ",Data!L18)</f>
        <v>PANY / PALENCZAT</v>
      </c>
      <c r="C9" s="26">
        <v>8.0</v>
      </c>
      <c r="D9" s="27">
        <f>Nennliste!D11</f>
        <v>435</v>
      </c>
      <c r="E9" s="26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>
      <c r="A10" s="26" t="s">
        <v>205</v>
      </c>
      <c r="B10" s="26" t="str">
        <f>CONCATENATE(Data!J20," / ",Data!L20)</f>
        <v>PARKANYI / FAVARETTO</v>
      </c>
      <c r="C10" s="26">
        <v>9.0</v>
      </c>
      <c r="D10" s="27">
        <f>Nennliste!D12</f>
        <v>349</v>
      </c>
      <c r="E10" s="26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>
      <c r="A11" s="26" t="s">
        <v>205</v>
      </c>
      <c r="B11" s="26" t="str">
        <f>CONCATENATE(Data!J22," / ",Data!L22)</f>
        <v>BOYD / STEGMÜLLER</v>
      </c>
      <c r="C11" s="26">
        <v>10.0</v>
      </c>
      <c r="D11" s="27">
        <f>Nennliste!D13</f>
        <v>335</v>
      </c>
      <c r="E11" s="26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>
      <c r="A12" s="26" t="s">
        <v>205</v>
      </c>
      <c r="B12" s="26" t="str">
        <f>CONCATENATE(Data!J24," / ",Data!L24)</f>
        <v>HEISZENBERGER / WAJDA</v>
      </c>
      <c r="C12" s="26">
        <v>11.0</v>
      </c>
      <c r="D12" s="27">
        <f>Nennliste!D14</f>
        <v>335</v>
      </c>
      <c r="E12" s="26"/>
      <c r="F12" s="25"/>
      <c r="G12" s="28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>
      <c r="A13" s="26" t="s">
        <v>205</v>
      </c>
      <c r="B13" s="26" t="str">
        <f>CONCATENATE(Data!J26," / ",Data!L26)</f>
        <v>HAGER / WICHO</v>
      </c>
      <c r="C13" s="26">
        <v>12.0</v>
      </c>
      <c r="D13" s="27">
        <f>Nennliste!D15</f>
        <v>332</v>
      </c>
      <c r="E13" s="26"/>
      <c r="F13" s="25"/>
      <c r="G13" s="28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>
      <c r="A14" s="26" t="s">
        <v>205</v>
      </c>
      <c r="B14" s="26" t="str">
        <f>CONCATENATE(Data!J28," / ",Data!L28)</f>
        <v>SZUDA / STÜRZ</v>
      </c>
      <c r="C14" s="26">
        <v>13.0</v>
      </c>
      <c r="D14" s="27">
        <f>Nennliste!D16</f>
        <v>320</v>
      </c>
      <c r="E14" s="26"/>
      <c r="F14" s="25"/>
      <c r="G14" s="28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>
      <c r="A15" s="26" t="s">
        <v>205</v>
      </c>
      <c r="B15" s="26" t="str">
        <f>CONCATENATE(Data!J30," / ",Data!L30)</f>
        <v>TRIBELNIG / WEINDL</v>
      </c>
      <c r="C15" s="26">
        <v>14.0</v>
      </c>
      <c r="D15" s="27">
        <f>Nennliste!D17</f>
        <v>310</v>
      </c>
      <c r="E15" s="26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>
      <c r="A16" s="26" t="s">
        <v>205</v>
      </c>
      <c r="B16" s="26" t="str">
        <f>CONCATENATE(Data!J32," / ",Data!L32)</f>
        <v>MATĚJKOVÁ / SANCHEZ</v>
      </c>
      <c r="C16" s="26">
        <v>15.0</v>
      </c>
      <c r="D16" s="27">
        <f>Nennliste!D18</f>
        <v>290</v>
      </c>
      <c r="E16" s="2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>
      <c r="A17" s="26" t="s">
        <v>205</v>
      </c>
      <c r="B17" s="26" t="str">
        <f>CONCATENATE(Data!J34," / ",Data!L34)</f>
        <v>YESSIMOVA / GLANNINGER</v>
      </c>
      <c r="C17" s="26">
        <v>16.0</v>
      </c>
      <c r="D17" s="27">
        <f>Nennliste!D19</f>
        <v>290</v>
      </c>
      <c r="E17" s="29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>
      <c r="A18" s="26" t="s">
        <v>205</v>
      </c>
      <c r="B18" s="26" t="str">
        <f>CONCATENATE(Data!J36," / ",Data!L36)</f>
        <v>PAUMANN / ANGERER</v>
      </c>
      <c r="C18" s="26">
        <v>17.0</v>
      </c>
      <c r="D18" s="27">
        <f>Nennliste!D20</f>
        <v>285</v>
      </c>
      <c r="E18" s="26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A19" s="26" t="s">
        <v>205</v>
      </c>
      <c r="B19" s="26" t="str">
        <f>CONCATENATE(Data!J38," / ",Data!L38)</f>
        <v>BEYER / SCHINAGL</v>
      </c>
      <c r="C19" s="26">
        <v>18.0</v>
      </c>
      <c r="D19" s="27">
        <f>Nennliste!D21</f>
        <v>267</v>
      </c>
      <c r="E19" s="2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>
      <c r="A20" s="26" t="s">
        <v>205</v>
      </c>
      <c r="B20" s="26" t="str">
        <f>CONCATENATE(Data!J40," / ",Data!L40)</f>
        <v>FERSTL-SCHMID / AIGNER</v>
      </c>
      <c r="C20" s="26">
        <v>19.0</v>
      </c>
      <c r="D20" s="27">
        <f>Nennliste!D22</f>
        <v>222</v>
      </c>
      <c r="E20" s="26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5.75" customHeight="1">
      <c r="A21" s="26" t="s">
        <v>205</v>
      </c>
      <c r="B21" s="26" t="str">
        <f>CONCATENATE(Data!J42," / ",Data!L42)</f>
        <v>HAYDN / DÜRNITZHOFER</v>
      </c>
      <c r="C21" s="26">
        <v>20.0</v>
      </c>
      <c r="D21" s="27">
        <f>Nennliste!D23</f>
        <v>189</v>
      </c>
      <c r="E21" s="26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5.75" customHeight="1">
      <c r="A22" s="26" t="s">
        <v>205</v>
      </c>
      <c r="B22" s="26" t="str">
        <f>CONCATENATE(Data!J44," / ",Data!L44)</f>
        <v>MARK / WOLF</v>
      </c>
      <c r="C22" s="26">
        <v>21.0</v>
      </c>
      <c r="D22" s="27">
        <f>Nennliste!D24</f>
        <v>184</v>
      </c>
      <c r="E22" s="26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5.75" customHeight="1">
      <c r="A23" s="26" t="s">
        <v>205</v>
      </c>
      <c r="B23" s="26" t="str">
        <f>CONCATENATE(Data!J46," / ",Data!L46)</f>
        <v>PICHLER / GRAF</v>
      </c>
      <c r="C23" s="26">
        <v>22.0</v>
      </c>
      <c r="D23" s="27">
        <f>Nennliste!D25</f>
        <v>174</v>
      </c>
      <c r="E23" s="26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5.75" customHeight="1">
      <c r="A24" s="26" t="s">
        <v>205</v>
      </c>
      <c r="B24" s="26" t="str">
        <f>CONCATENATE(Data!J48," / ",Data!L48)</f>
        <v>GIFFINGER / FREY</v>
      </c>
      <c r="C24" s="26">
        <v>23.0</v>
      </c>
      <c r="D24" s="27">
        <f>Nennliste!D26</f>
        <v>158</v>
      </c>
      <c r="E24" s="26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5.75" customHeight="1">
      <c r="A25" s="26" t="s">
        <v>205</v>
      </c>
      <c r="B25" s="26" t="str">
        <f>CONCATENATE(Data!J50," / ",Data!L50)</f>
        <v>SCHENK / SCHWARZ</v>
      </c>
      <c r="C25" s="26">
        <v>24.0</v>
      </c>
      <c r="D25" s="27">
        <f>Nennliste!D27</f>
        <v>152</v>
      </c>
      <c r="E25" s="26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5.75" customHeight="1">
      <c r="A26" s="26" t="s">
        <v>205</v>
      </c>
      <c r="B26" s="26" t="str">
        <f>CONCATENATE(Data!J52," / ",Data!L52)</f>
        <v>PRINZHORN / SALLMANNSHOFER</v>
      </c>
      <c r="C26" s="26">
        <v>25.0</v>
      </c>
      <c r="D26" s="27">
        <f>Nennliste!D28</f>
        <v>133</v>
      </c>
      <c r="E26" s="26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5.75" customHeight="1">
      <c r="A27" s="26" t="s">
        <v>205</v>
      </c>
      <c r="B27" s="26" t="str">
        <f>CONCATENATE(Data!J54," / ",Data!L54)</f>
        <v>KAMIENIARZ / SAMS</v>
      </c>
      <c r="C27" s="26">
        <v>26.0</v>
      </c>
      <c r="D27" s="27">
        <f>Nennliste!D29</f>
        <v>124</v>
      </c>
      <c r="E27" s="2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5.75" customHeight="1">
      <c r="A28" s="26" t="s">
        <v>205</v>
      </c>
      <c r="B28" s="26" t="str">
        <f>CONCATENATE(Data!J56," / ",Data!L56)</f>
        <v>MACINKOVIC / WAGNER</v>
      </c>
      <c r="C28" s="26">
        <v>27.0</v>
      </c>
      <c r="D28" s="27">
        <f>Nennliste!D30</f>
        <v>96</v>
      </c>
      <c r="E28" s="26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5.75" customHeight="1">
      <c r="A29" s="26" t="s">
        <v>205</v>
      </c>
      <c r="B29" s="26" t="str">
        <f>CONCATENATE(Data!J58," / ",Data!L58)</f>
        <v>SCHUSTER / MASSIN</v>
      </c>
      <c r="C29" s="26">
        <v>28.0</v>
      </c>
      <c r="D29" s="27">
        <f>Nennliste!D31</f>
        <v>56</v>
      </c>
      <c r="E29" s="2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autoFilter ref="$A$1:$D$29">
    <sortState ref="A1:D29">
      <sortCondition ref="C1:C29"/>
    </sortState>
  </autoFilter>
  <conditionalFormatting sqref="E2:E29">
    <cfRule type="containsText" dxfId="0" priority="1" operator="containsText" text="Ja">
      <formula>NOT(ISERROR(SEARCH(("Ja"),(E2))))</formula>
    </cfRule>
  </conditionalFormatting>
  <printOptions/>
  <pageMargins bottom="0.787401575" footer="0.0" header="0.0" left="0.7" right="0.7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7.86"/>
    <col customWidth="1" min="3" max="3" width="31.0"/>
    <col customWidth="1" min="4" max="4" width="6.29"/>
    <col customWidth="1" min="5" max="5" width="38.71"/>
    <col customWidth="1" min="6" max="26" width="10.71"/>
  </cols>
  <sheetData>
    <row r="1">
      <c r="A1" s="30" t="s">
        <v>206</v>
      </c>
      <c r="B1" s="30" t="s">
        <v>200</v>
      </c>
      <c r="C1" s="30" t="s">
        <v>201</v>
      </c>
      <c r="D1" s="30" t="s">
        <v>207</v>
      </c>
      <c r="E1" s="30" t="s">
        <v>208</v>
      </c>
    </row>
    <row r="2">
      <c r="A2" s="30">
        <f>Import!C2</f>
        <v>1</v>
      </c>
      <c r="B2" s="30" t="str">
        <f>Import!A2</f>
        <v>AUT</v>
      </c>
      <c r="C2" s="30" t="str">
        <f>Import!B2</f>
        <v>BAUER / HASELSTEINER</v>
      </c>
      <c r="D2" s="30" t="str">
        <f>IF(Import!E2="","",Import!E2)</f>
        <v/>
      </c>
      <c r="E2" s="31" t="str">
        <f t="shared" ref="E2:E29" si="1">"#"&amp;A2&amp;", "&amp;C2</f>
        <v>#1, BAUER / HASELSTEINER</v>
      </c>
      <c r="G2" s="32" t="s">
        <v>209</v>
      </c>
    </row>
    <row r="3">
      <c r="A3" s="30">
        <f>Import!C3</f>
        <v>2</v>
      </c>
      <c r="B3" s="30" t="str">
        <f>Import!A3</f>
        <v>AUT</v>
      </c>
      <c r="C3" s="30" t="str">
        <f>Import!B3</f>
        <v>ELSNER / PFAU</v>
      </c>
      <c r="D3" s="30" t="str">
        <f>IF(Import!E3="","",Import!E3)</f>
        <v/>
      </c>
      <c r="E3" s="31" t="str">
        <f t="shared" si="1"/>
        <v>#2, ELSNER / PFAU</v>
      </c>
    </row>
    <row r="4">
      <c r="A4" s="30">
        <f>Import!C4</f>
        <v>3</v>
      </c>
      <c r="B4" s="30" t="str">
        <f>Import!A4</f>
        <v>AUT</v>
      </c>
      <c r="C4" s="30" t="str">
        <f>Import!B4</f>
        <v>HOFSTETTER / SHKARUPA</v>
      </c>
      <c r="D4" s="30" t="str">
        <f>IF(Import!E4="","",Import!E4)</f>
        <v/>
      </c>
      <c r="E4" s="31" t="str">
        <f t="shared" si="1"/>
        <v>#3, HOFSTETTER / SHKARUPA</v>
      </c>
    </row>
    <row r="5">
      <c r="A5" s="30">
        <f>Import!C5</f>
        <v>4</v>
      </c>
      <c r="B5" s="30" t="str">
        <f>Import!A5</f>
        <v>AUT</v>
      </c>
      <c r="C5" s="30" t="str">
        <f>Import!B5</f>
        <v>KREMSER / MASCHERBAUER</v>
      </c>
      <c r="D5" s="30" t="str">
        <f>IF(Import!E5="","",Import!E5)</f>
        <v/>
      </c>
      <c r="E5" s="31" t="str">
        <f t="shared" si="1"/>
        <v>#4, KREMSER / MASCHERBAUER</v>
      </c>
    </row>
    <row r="6">
      <c r="A6" s="30">
        <f>Import!C6</f>
        <v>5</v>
      </c>
      <c r="B6" s="30" t="str">
        <f>Import!A6</f>
        <v>AUT</v>
      </c>
      <c r="C6" s="30" t="str">
        <f>Import!B6</f>
        <v>BISANZ / HAMMARBERG</v>
      </c>
      <c r="D6" s="30" t="str">
        <f>IF(Import!E6="","",Import!E6)</f>
        <v/>
      </c>
      <c r="E6" s="31" t="str">
        <f t="shared" si="1"/>
        <v>#5, BISANZ / HAMMARBERG</v>
      </c>
    </row>
    <row r="7">
      <c r="A7" s="30">
        <f>Import!C7</f>
        <v>6</v>
      </c>
      <c r="B7" s="30" t="str">
        <f>Import!A7</f>
        <v>AUT</v>
      </c>
      <c r="C7" s="30" t="str">
        <f>Import!B7</f>
        <v>SCHLAX / WAGNER</v>
      </c>
      <c r="D7" s="30" t="str">
        <f>IF(Import!E7="","",Import!E7)</f>
        <v/>
      </c>
      <c r="E7" s="31" t="str">
        <f t="shared" si="1"/>
        <v>#6, SCHLAX / WAGNER</v>
      </c>
    </row>
    <row r="8">
      <c r="A8" s="30">
        <f>Import!C8</f>
        <v>7</v>
      </c>
      <c r="B8" s="30" t="str">
        <f>Import!A8</f>
        <v>AUT</v>
      </c>
      <c r="C8" s="30" t="str">
        <f>Import!B8</f>
        <v>HOCHREITER / WINDISCH</v>
      </c>
      <c r="D8" s="30" t="str">
        <f>IF(Import!E8="","",Import!E8)</f>
        <v/>
      </c>
      <c r="E8" s="31" t="str">
        <f t="shared" si="1"/>
        <v>#7, HOCHREITER / WINDISCH</v>
      </c>
    </row>
    <row r="9">
      <c r="A9" s="30">
        <f>Import!C9</f>
        <v>8</v>
      </c>
      <c r="B9" s="30" t="str">
        <f>Import!A9</f>
        <v>AUT</v>
      </c>
      <c r="C9" s="30" t="str">
        <f>Import!B9</f>
        <v>PANY / PALENCZAT</v>
      </c>
      <c r="D9" s="30" t="str">
        <f>IF(Import!E9="","",Import!E9)</f>
        <v/>
      </c>
      <c r="E9" s="31" t="str">
        <f t="shared" si="1"/>
        <v>#8, PANY / PALENCZAT</v>
      </c>
    </row>
    <row r="10">
      <c r="A10" s="30">
        <f>Import!C10</f>
        <v>9</v>
      </c>
      <c r="B10" s="30" t="str">
        <f>Import!A10</f>
        <v>AUT</v>
      </c>
      <c r="C10" s="30" t="str">
        <f>Import!B10</f>
        <v>PARKANYI / FAVARETTO</v>
      </c>
      <c r="D10" s="30" t="str">
        <f>IF(Import!E10="","",Import!E10)</f>
        <v/>
      </c>
      <c r="E10" s="31" t="str">
        <f t="shared" si="1"/>
        <v>#9, PARKANYI / FAVARETTO</v>
      </c>
    </row>
    <row r="11">
      <c r="A11" s="30">
        <f>Import!C11</f>
        <v>10</v>
      </c>
      <c r="B11" s="30" t="str">
        <f>Import!A11</f>
        <v>AUT</v>
      </c>
      <c r="C11" s="30" t="str">
        <f>Import!B11</f>
        <v>BOYD / STEGMÜLLER</v>
      </c>
      <c r="D11" s="30" t="str">
        <f>IF(Import!E11="","",Import!E11)</f>
        <v/>
      </c>
      <c r="E11" s="31" t="str">
        <f t="shared" si="1"/>
        <v>#10, BOYD / STEGMÜLLER</v>
      </c>
    </row>
    <row r="12">
      <c r="A12" s="30">
        <f>Import!C12</f>
        <v>11</v>
      </c>
      <c r="B12" s="30" t="str">
        <f>Import!A12</f>
        <v>AUT</v>
      </c>
      <c r="C12" s="30" t="str">
        <f>Import!B12</f>
        <v>HEISZENBERGER / WAJDA</v>
      </c>
      <c r="D12" s="30" t="str">
        <f>IF(Import!E12="","",Import!E12)</f>
        <v/>
      </c>
      <c r="E12" s="31" t="str">
        <f t="shared" si="1"/>
        <v>#11, HEISZENBERGER / WAJDA</v>
      </c>
    </row>
    <row r="13">
      <c r="A13" s="30">
        <f>Import!C13</f>
        <v>12</v>
      </c>
      <c r="B13" s="30" t="str">
        <f>Import!A13</f>
        <v>AUT</v>
      </c>
      <c r="C13" s="30" t="str">
        <f>Import!B13</f>
        <v>HAGER / WICHO</v>
      </c>
      <c r="D13" s="30" t="str">
        <f>IF(Import!E13="","",Import!E13)</f>
        <v/>
      </c>
      <c r="E13" s="31" t="str">
        <f t="shared" si="1"/>
        <v>#12, HAGER / WICHO</v>
      </c>
    </row>
    <row r="14">
      <c r="A14" s="30">
        <f>Import!C14</f>
        <v>13</v>
      </c>
      <c r="B14" s="30" t="str">
        <f>Import!A14</f>
        <v>AUT</v>
      </c>
      <c r="C14" s="30" t="str">
        <f>Import!B14</f>
        <v>SZUDA / STÜRZ</v>
      </c>
      <c r="D14" s="30" t="str">
        <f>IF(Import!E14="","",Import!E14)</f>
        <v/>
      </c>
      <c r="E14" s="31" t="str">
        <f t="shared" si="1"/>
        <v>#13, SZUDA / STÜRZ</v>
      </c>
    </row>
    <row r="15">
      <c r="A15" s="30">
        <f>Import!C15</f>
        <v>14</v>
      </c>
      <c r="B15" s="30" t="str">
        <f>Import!A15</f>
        <v>AUT</v>
      </c>
      <c r="C15" s="30" t="str">
        <f>Import!B15</f>
        <v>TRIBELNIG / WEINDL</v>
      </c>
      <c r="D15" s="30" t="str">
        <f>IF(Import!E15="","",Import!E15)</f>
        <v/>
      </c>
      <c r="E15" s="31" t="str">
        <f t="shared" si="1"/>
        <v>#14, TRIBELNIG / WEINDL</v>
      </c>
    </row>
    <row r="16">
      <c r="A16" s="30">
        <f>Import!C16</f>
        <v>15</v>
      </c>
      <c r="B16" s="30" t="str">
        <f>Import!A16</f>
        <v>AUT</v>
      </c>
      <c r="C16" s="30" t="str">
        <f>Import!B16</f>
        <v>MATĚJKOVÁ / SANCHEZ</v>
      </c>
      <c r="D16" s="30" t="str">
        <f>IF(Import!E16="","",Import!E16)</f>
        <v/>
      </c>
      <c r="E16" s="31" t="str">
        <f t="shared" si="1"/>
        <v>#15, MATĚJKOVÁ / SANCHEZ</v>
      </c>
    </row>
    <row r="17">
      <c r="A17" s="30">
        <f>Import!C17</f>
        <v>16</v>
      </c>
      <c r="B17" s="30" t="str">
        <f>Import!A17</f>
        <v>AUT</v>
      </c>
      <c r="C17" s="30" t="str">
        <f>Import!B17</f>
        <v>YESSIMOVA / GLANNINGER</v>
      </c>
      <c r="D17" s="30" t="str">
        <f>IF(Import!E17="","",Import!E17)</f>
        <v/>
      </c>
      <c r="E17" s="31" t="str">
        <f t="shared" si="1"/>
        <v>#16, YESSIMOVA / GLANNINGER</v>
      </c>
    </row>
    <row r="18">
      <c r="A18" s="30">
        <f>Import!C18</f>
        <v>17</v>
      </c>
      <c r="B18" s="30" t="str">
        <f>Import!A18</f>
        <v>AUT</v>
      </c>
      <c r="C18" s="30" t="str">
        <f>Import!B18</f>
        <v>PAUMANN / ANGERER</v>
      </c>
      <c r="D18" s="30" t="str">
        <f>IF(Import!E18="","",Import!E18)</f>
        <v/>
      </c>
      <c r="E18" s="31" t="str">
        <f t="shared" si="1"/>
        <v>#17, PAUMANN / ANGERER</v>
      </c>
    </row>
    <row r="19">
      <c r="A19" s="30">
        <f>Import!C19</f>
        <v>18</v>
      </c>
      <c r="B19" s="30" t="str">
        <f>Import!A19</f>
        <v>AUT</v>
      </c>
      <c r="C19" s="30" t="str">
        <f>Import!B19</f>
        <v>BEYER / SCHINAGL</v>
      </c>
      <c r="D19" s="30" t="str">
        <f>IF(Import!E19="","",Import!E19)</f>
        <v/>
      </c>
      <c r="E19" s="31" t="str">
        <f t="shared" si="1"/>
        <v>#18, BEYER / SCHINAGL</v>
      </c>
    </row>
    <row r="20">
      <c r="A20" s="30">
        <f>Import!C20</f>
        <v>19</v>
      </c>
      <c r="B20" s="30" t="str">
        <f>Import!A20</f>
        <v>AUT</v>
      </c>
      <c r="C20" s="30" t="str">
        <f>Import!B20</f>
        <v>FERSTL-SCHMID / AIGNER</v>
      </c>
      <c r="D20" s="30" t="str">
        <f>IF(Import!E20="","",Import!E20)</f>
        <v/>
      </c>
      <c r="E20" s="31" t="str">
        <f t="shared" si="1"/>
        <v>#19, FERSTL-SCHMID / AIGNER</v>
      </c>
    </row>
    <row r="21" ht="15.75" customHeight="1">
      <c r="A21" s="30">
        <f>Import!C21</f>
        <v>20</v>
      </c>
      <c r="B21" s="30" t="str">
        <f>Import!A21</f>
        <v>AUT</v>
      </c>
      <c r="C21" s="30" t="str">
        <f>Import!B21</f>
        <v>HAYDN / DÜRNITZHOFER</v>
      </c>
      <c r="D21" s="30" t="str">
        <f>IF(Import!E21="","",Import!E21)</f>
        <v/>
      </c>
      <c r="E21" s="31" t="str">
        <f t="shared" si="1"/>
        <v>#20, HAYDN / DÜRNITZHOFER</v>
      </c>
    </row>
    <row r="22" ht="15.75" customHeight="1">
      <c r="A22" s="30">
        <f>Import!C22</f>
        <v>21</v>
      </c>
      <c r="B22" s="30" t="str">
        <f>Import!A22</f>
        <v>AUT</v>
      </c>
      <c r="C22" s="30" t="str">
        <f>Import!B22</f>
        <v>MARK / WOLF</v>
      </c>
      <c r="D22" s="30" t="str">
        <f>IF(Import!E22="","",Import!E22)</f>
        <v/>
      </c>
      <c r="E22" s="31" t="str">
        <f t="shared" si="1"/>
        <v>#21, MARK / WOLF</v>
      </c>
    </row>
    <row r="23" ht="15.75" customHeight="1">
      <c r="A23" s="30">
        <f>Import!C23</f>
        <v>22</v>
      </c>
      <c r="B23" s="30" t="str">
        <f>Import!A23</f>
        <v>AUT</v>
      </c>
      <c r="C23" s="30" t="str">
        <f>Import!B23</f>
        <v>PICHLER / GRAF</v>
      </c>
      <c r="D23" s="30" t="str">
        <f>IF(Import!E23="","",Import!E23)</f>
        <v/>
      </c>
      <c r="E23" s="31" t="str">
        <f t="shared" si="1"/>
        <v>#22, PICHLER / GRAF</v>
      </c>
    </row>
    <row r="24" ht="15.75" customHeight="1">
      <c r="A24" s="30">
        <f>Import!C24</f>
        <v>23</v>
      </c>
      <c r="B24" s="30" t="str">
        <f>Import!A24</f>
        <v>AUT</v>
      </c>
      <c r="C24" s="30" t="str">
        <f>Import!B24</f>
        <v>GIFFINGER / FREY</v>
      </c>
      <c r="D24" s="30" t="str">
        <f>IF(Import!E24="","",Import!E24)</f>
        <v/>
      </c>
      <c r="E24" s="31" t="str">
        <f t="shared" si="1"/>
        <v>#23, GIFFINGER / FREY</v>
      </c>
    </row>
    <row r="25" ht="15.75" customHeight="1">
      <c r="A25" s="30">
        <f>Import!C25</f>
        <v>24</v>
      </c>
      <c r="B25" s="30" t="str">
        <f>Import!A25</f>
        <v>AUT</v>
      </c>
      <c r="C25" s="30" t="str">
        <f>Import!B25</f>
        <v>SCHENK / SCHWARZ</v>
      </c>
      <c r="D25" s="30" t="str">
        <f>IF(Import!E25="","",Import!E25)</f>
        <v/>
      </c>
      <c r="E25" s="31" t="str">
        <f t="shared" si="1"/>
        <v>#24, SCHENK / SCHWARZ</v>
      </c>
    </row>
    <row r="26" ht="15.75" customHeight="1">
      <c r="A26" s="30">
        <f>Import!C26</f>
        <v>25</v>
      </c>
      <c r="B26" s="30" t="str">
        <f>Import!A26</f>
        <v>AUT</v>
      </c>
      <c r="C26" s="30" t="str">
        <f>Import!B26</f>
        <v>PRINZHORN / SALLMANNSHOFER</v>
      </c>
      <c r="D26" s="30" t="str">
        <f>IF(Import!E26="","",Import!E26)</f>
        <v/>
      </c>
      <c r="E26" s="31" t="str">
        <f t="shared" si="1"/>
        <v>#25, PRINZHORN / SALLMANNSHOFER</v>
      </c>
    </row>
    <row r="27" ht="15.75" customHeight="1">
      <c r="A27" s="30">
        <f>Import!C27</f>
        <v>26</v>
      </c>
      <c r="B27" s="30" t="str">
        <f>Import!A27</f>
        <v>AUT</v>
      </c>
      <c r="C27" s="30" t="str">
        <f>Import!B27</f>
        <v>KAMIENIARZ / SAMS</v>
      </c>
      <c r="D27" s="30" t="str">
        <f>IF(Import!E27="","",Import!E27)</f>
        <v/>
      </c>
      <c r="E27" s="31" t="str">
        <f t="shared" si="1"/>
        <v>#26, KAMIENIARZ / SAMS</v>
      </c>
    </row>
    <row r="28" ht="15.75" customHeight="1">
      <c r="A28" s="30">
        <f>Import!C28</f>
        <v>27</v>
      </c>
      <c r="B28" s="30" t="str">
        <f>Import!A28</f>
        <v>AUT</v>
      </c>
      <c r="C28" s="30" t="str">
        <f>Import!B28</f>
        <v>MACINKOVIC / WAGNER</v>
      </c>
      <c r="D28" s="30" t="str">
        <f>IF(Import!E28="","",Import!E28)</f>
        <v/>
      </c>
      <c r="E28" s="31" t="str">
        <f t="shared" si="1"/>
        <v>#27, MACINKOVIC / WAGNER</v>
      </c>
    </row>
    <row r="29" ht="15.75" customHeight="1">
      <c r="A29" s="30">
        <f>Import!C29</f>
        <v>28</v>
      </c>
      <c r="B29" s="30" t="str">
        <f>Import!A29</f>
        <v>AUT</v>
      </c>
      <c r="C29" s="30" t="str">
        <f>Import!B29</f>
        <v>SCHUSTER / MASSIN</v>
      </c>
      <c r="D29" s="30" t="str">
        <f>IF(Import!E29="","",Import!E29)</f>
        <v/>
      </c>
      <c r="E29" s="31" t="str">
        <f t="shared" si="1"/>
        <v>#28, SCHUSTER / MASSIN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38.71"/>
    <col customWidth="1" min="5" max="5" width="35.29"/>
    <col customWidth="1" min="6" max="7" width="32.14"/>
    <col customWidth="1" min="8" max="26" width="10.71"/>
  </cols>
  <sheetData>
    <row r="1" hidden="1">
      <c r="A1" s="30">
        <v>1.0</v>
      </c>
      <c r="B1" s="30">
        <v>2.0</v>
      </c>
      <c r="C1" s="30">
        <v>3.0</v>
      </c>
      <c r="D1" s="30">
        <v>4.0</v>
      </c>
      <c r="E1" s="30">
        <v>5.0</v>
      </c>
      <c r="F1" s="30">
        <v>6.0</v>
      </c>
      <c r="G1" s="30">
        <v>7.0</v>
      </c>
    </row>
    <row r="2" hidden="1">
      <c r="A2" s="30">
        <v>14.0</v>
      </c>
      <c r="B2" s="30">
        <v>13.0</v>
      </c>
      <c r="C2" s="30">
        <v>12.0</v>
      </c>
      <c r="D2" s="30">
        <v>11.0</v>
      </c>
      <c r="E2" s="30">
        <v>10.0</v>
      </c>
      <c r="F2" s="30">
        <v>9.0</v>
      </c>
      <c r="G2" s="30">
        <v>8.0</v>
      </c>
    </row>
    <row r="3" hidden="1">
      <c r="A3" s="30">
        <v>15.0</v>
      </c>
      <c r="B3" s="30">
        <v>16.0</v>
      </c>
      <c r="C3" s="30">
        <v>17.0</v>
      </c>
      <c r="D3" s="30">
        <v>18.0</v>
      </c>
      <c r="E3" s="30">
        <v>19.0</v>
      </c>
      <c r="F3" s="30">
        <v>20.0</v>
      </c>
      <c r="G3" s="30">
        <v>21.0</v>
      </c>
    </row>
    <row r="4" hidden="1">
      <c r="A4" s="30">
        <v>28.0</v>
      </c>
      <c r="B4" s="30">
        <v>27.0</v>
      </c>
      <c r="C4" s="30">
        <v>26.0</v>
      </c>
      <c r="D4" s="30">
        <v>25.0</v>
      </c>
      <c r="E4" s="30">
        <v>24.0</v>
      </c>
      <c r="F4" s="30">
        <v>23.0</v>
      </c>
      <c r="G4" s="30">
        <v>22.0</v>
      </c>
    </row>
    <row r="5">
      <c r="A5" s="33" t="s">
        <v>210</v>
      </c>
      <c r="B5" s="34" t="s">
        <v>211</v>
      </c>
      <c r="C5" s="35" t="s">
        <v>212</v>
      </c>
      <c r="D5" s="36" t="s">
        <v>213</v>
      </c>
      <c r="E5" s="37" t="s">
        <v>214</v>
      </c>
      <c r="F5" s="38" t="s">
        <v>215</v>
      </c>
      <c r="G5" s="39" t="s">
        <v>216</v>
      </c>
    </row>
    <row r="6">
      <c r="A6" s="40" t="str">
        <f>VLOOKUP(A1,Seeding!$A$2:$E$29,5,FALSE)</f>
        <v>#1, BAUER / HASELSTEINER</v>
      </c>
      <c r="B6" s="41" t="str">
        <f>VLOOKUP(B1,Seeding!$A$2:$E$29,5,FALSE)</f>
        <v>#2, ELSNER / PFAU</v>
      </c>
      <c r="C6" s="42" t="str">
        <f>VLOOKUP(C1,Seeding!$A$2:$E$29,5,FALSE)</f>
        <v>#3, HOFSTETTER / SHKARUPA</v>
      </c>
      <c r="D6" s="43" t="str">
        <f>VLOOKUP(D1,Seeding!$A$2:$E$29,5,FALSE)</f>
        <v>#4, KREMSER / MASCHERBAUER</v>
      </c>
      <c r="E6" s="44" t="str">
        <f>VLOOKUP(E1,Seeding!$A$2:$E$29,5,FALSE)</f>
        <v>#5, BISANZ / HAMMARBERG</v>
      </c>
      <c r="F6" s="45" t="str">
        <f>VLOOKUP(F1,Seeding!$A$2:$E$29,5,FALSE)</f>
        <v>#6, SCHLAX / WAGNER</v>
      </c>
      <c r="G6" s="46" t="str">
        <f>VLOOKUP(G1,Seeding!$A$2:$E$29,5,FALSE)</f>
        <v>#7, HOCHREITER / WINDISCH</v>
      </c>
    </row>
    <row r="7">
      <c r="A7" s="40" t="str">
        <f>VLOOKUP(A2,Seeding!$A$2:$E$29,5,FALSE)</f>
        <v>#14, TRIBELNIG / WEINDL</v>
      </c>
      <c r="B7" s="41" t="str">
        <f>VLOOKUP(B2,Seeding!$A$2:$E$29,5,FALSE)</f>
        <v>#13, SZUDA / STÜRZ</v>
      </c>
      <c r="C7" s="42" t="str">
        <f>VLOOKUP(C2,Seeding!$A$2:$E$29,5,FALSE)</f>
        <v>#12, HAGER / WICHO</v>
      </c>
      <c r="D7" s="43" t="str">
        <f>VLOOKUP(D2,Seeding!$A$2:$E$29,5,FALSE)</f>
        <v>#11, HEISZENBERGER / WAJDA</v>
      </c>
      <c r="E7" s="44" t="str">
        <f>VLOOKUP(E2,Seeding!$A$2:$E$29,5,FALSE)</f>
        <v>#10, BOYD / STEGMÜLLER</v>
      </c>
      <c r="F7" s="45" t="str">
        <f>VLOOKUP(F2,Seeding!$A$2:$E$29,5,FALSE)</f>
        <v>#9, PARKANYI / FAVARETTO</v>
      </c>
      <c r="G7" s="46" t="str">
        <f>VLOOKUP(G2,Seeding!$A$2:$E$29,5,FALSE)</f>
        <v>#8, PANY / PALENCZAT</v>
      </c>
    </row>
    <row r="8">
      <c r="A8" s="40" t="str">
        <f>VLOOKUP(A3,Seeding!$A$2:$E$29,5,FALSE)</f>
        <v>#15, MATĚJKOVÁ / SANCHEZ</v>
      </c>
      <c r="B8" s="41" t="str">
        <f>VLOOKUP(B3,Seeding!$A$2:$E$29,5,FALSE)</f>
        <v>#16, YESSIMOVA / GLANNINGER</v>
      </c>
      <c r="C8" s="42" t="str">
        <f>VLOOKUP(C3,Seeding!$A$2:$E$29,5,FALSE)</f>
        <v>#17, PAUMANN / ANGERER</v>
      </c>
      <c r="D8" s="43" t="str">
        <f>VLOOKUP(D3,Seeding!$A$2:$E$29,5,FALSE)</f>
        <v>#18, BEYER / SCHINAGL</v>
      </c>
      <c r="E8" s="44" t="str">
        <f>VLOOKUP(E3,Seeding!$A$2:$E$29,5,FALSE)</f>
        <v>#19, FERSTL-SCHMID / AIGNER</v>
      </c>
      <c r="F8" s="45" t="str">
        <f>VLOOKUP(F3,Seeding!$A$2:$E$29,5,FALSE)</f>
        <v>#20, HAYDN / DÜRNITZHOFER</v>
      </c>
      <c r="G8" s="46" t="str">
        <f>VLOOKUP(G3,Seeding!$A$2:$E$29,5,FALSE)</f>
        <v>#21, MARK / WOLF</v>
      </c>
    </row>
    <row r="9">
      <c r="A9" s="40" t="str">
        <f>VLOOKUP(A4,Seeding!$A$2:$E$29,5,FALSE)</f>
        <v>#28, SCHUSTER / MASSIN</v>
      </c>
      <c r="B9" s="41" t="str">
        <f>VLOOKUP(B4,Seeding!$A$2:$E$29,5,FALSE)</f>
        <v>#27, MACINKOVIC / WAGNER</v>
      </c>
      <c r="C9" s="42" t="str">
        <f>VLOOKUP(C4,Seeding!$A$2:$E$29,5,FALSE)</f>
        <v>#26, KAMIENIARZ / SAMS</v>
      </c>
      <c r="D9" s="43" t="str">
        <f>VLOOKUP(D4,Seeding!$A$2:$E$29,5,FALSE)</f>
        <v>#25, PRINZHORN / SALLMANNSHOFER</v>
      </c>
      <c r="E9" s="44" t="str">
        <f>VLOOKUP(E4,Seeding!$A$2:$E$29,5,FALSE)</f>
        <v>#24, SCHENK / SCHWARZ</v>
      </c>
      <c r="F9" s="45" t="str">
        <f>VLOOKUP(F4,Seeding!$A$2:$E$29,5,FALSE)</f>
        <v>#23, GIFFINGER / FREY</v>
      </c>
      <c r="G9" s="46" t="str">
        <f>VLOOKUP(G4,Seeding!$A$2:$E$29,5,FALSE)</f>
        <v>#22, PICHLER / GRAF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6.43"/>
    <col customWidth="1" min="2" max="2" width="7.71"/>
    <col customWidth="1" min="3" max="3" width="44.0"/>
    <col customWidth="1" min="4" max="4" width="5.29"/>
    <col customWidth="1" min="5" max="7" width="5.57"/>
    <col customWidth="1" min="8" max="8" width="6.71"/>
    <col customWidth="1" min="9" max="9" width="29.57"/>
    <col customWidth="1" min="10" max="10" width="11.86"/>
    <col customWidth="1" min="11" max="11" width="15.29"/>
    <col customWidth="1" hidden="1" min="12" max="12" width="33.57"/>
    <col customWidth="1" hidden="1" min="13" max="13" width="38.71"/>
    <col customWidth="1" hidden="1" min="14" max="17" width="10.71"/>
    <col customWidth="1" min="18" max="26" width="10.71"/>
  </cols>
  <sheetData>
    <row r="1" ht="12.0" customHeight="1">
      <c r="A1" s="47" t="s">
        <v>217</v>
      </c>
      <c r="B1" s="47" t="s">
        <v>218</v>
      </c>
      <c r="C1" s="47" t="s">
        <v>219</v>
      </c>
      <c r="D1" s="47" t="s">
        <v>220</v>
      </c>
      <c r="E1" s="47" t="s">
        <v>221</v>
      </c>
      <c r="F1" s="47" t="s">
        <v>222</v>
      </c>
      <c r="G1" s="47" t="s">
        <v>223</v>
      </c>
      <c r="H1" s="47" t="s">
        <v>224</v>
      </c>
      <c r="I1" s="47" t="s">
        <v>225</v>
      </c>
      <c r="J1" s="47" t="s">
        <v>226</v>
      </c>
      <c r="K1" s="47" t="s">
        <v>227</v>
      </c>
      <c r="L1" s="47" t="s">
        <v>228</v>
      </c>
      <c r="M1" s="47" t="s">
        <v>229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2.0" customHeight="1">
      <c r="A2" s="49">
        <v>1.0</v>
      </c>
      <c r="B2" s="49" t="str">
        <f>Pools!A5</f>
        <v>Pool A</v>
      </c>
      <c r="C2" s="49" t="str">
        <f>Pools!A6</f>
        <v>#1, BAUER / HASELSTEINER</v>
      </c>
      <c r="D2" s="50">
        <f>IF(ISBLANK(E2),"",IF(E2&gt;E3,1,0) + IF(F2&gt;F3,1,0) + IF(G2&gt;G3,1,0))</f>
        <v>2</v>
      </c>
      <c r="E2" s="51">
        <v>15.0</v>
      </c>
      <c r="F2" s="51">
        <v>15.0</v>
      </c>
      <c r="G2" s="50"/>
      <c r="H2" s="51" t="s">
        <v>230</v>
      </c>
      <c r="I2" s="50" t="str">
        <f>C18</f>
        <v>#5, BISANZ / HAMMARBERG</v>
      </c>
      <c r="J2" s="52">
        <v>0.375</v>
      </c>
      <c r="K2" s="53"/>
      <c r="L2" s="47" t="str">
        <f>IF(D2="","Winner Pool A #1",IF(D2=2,C2,C3))</f>
        <v>#1, BAUER / HASELSTEINER</v>
      </c>
      <c r="M2" s="47" t="str">
        <f>IF(D2="","Loser Pool A #1",IF(D2&lt;2,C2,C3))</f>
        <v>#28, SCHUSTER / MASSIN</v>
      </c>
      <c r="N2" s="54">
        <f t="shared" ref="N2:Q2" si="1">D3</f>
        <v>0</v>
      </c>
      <c r="O2" s="54">
        <f t="shared" si="1"/>
        <v>4</v>
      </c>
      <c r="P2" s="54">
        <f t="shared" si="1"/>
        <v>2</v>
      </c>
      <c r="Q2" s="54" t="str">
        <f t="shared" si="1"/>
        <v/>
      </c>
      <c r="R2" s="48"/>
      <c r="S2" s="55" t="s">
        <v>209</v>
      </c>
      <c r="T2" s="48"/>
      <c r="U2" s="48"/>
      <c r="V2" s="48"/>
      <c r="W2" s="48"/>
      <c r="X2" s="48"/>
      <c r="Y2" s="48"/>
      <c r="Z2" s="48"/>
    </row>
    <row r="3" ht="12.0" customHeight="1">
      <c r="A3" s="49"/>
      <c r="B3" s="49"/>
      <c r="C3" s="49" t="str">
        <f>Pools!A9</f>
        <v>#28, SCHUSTER / MASSIN</v>
      </c>
      <c r="D3" s="50">
        <f>IF(ISBLANK(E2),"",IF(E2&lt;E3,1,0) + IF(F2&lt;F3,1,0) + IF(G2&lt;G3,1,0))</f>
        <v>0</v>
      </c>
      <c r="E3" s="51">
        <v>4.0</v>
      </c>
      <c r="F3" s="51">
        <v>2.0</v>
      </c>
      <c r="G3" s="50"/>
      <c r="H3" s="51"/>
      <c r="I3" s="50"/>
      <c r="J3" s="52"/>
      <c r="K3" s="53"/>
      <c r="L3" s="48"/>
      <c r="M3" s="48"/>
      <c r="N3" s="54">
        <f t="shared" ref="N3:Q3" si="2">D2</f>
        <v>2</v>
      </c>
      <c r="O3" s="54">
        <f t="shared" si="2"/>
        <v>15</v>
      </c>
      <c r="P3" s="54">
        <f t="shared" si="2"/>
        <v>15</v>
      </c>
      <c r="Q3" s="54" t="str">
        <f t="shared" si="2"/>
        <v/>
      </c>
      <c r="R3" s="48"/>
      <c r="S3" s="48"/>
      <c r="T3" s="48"/>
      <c r="U3" s="48"/>
      <c r="V3" s="48"/>
      <c r="W3" s="48"/>
      <c r="X3" s="48"/>
      <c r="Y3" s="48"/>
      <c r="Z3" s="48"/>
    </row>
    <row r="4" ht="12.0" customHeight="1">
      <c r="A4" s="49">
        <v>2.0</v>
      </c>
      <c r="B4" s="49" t="str">
        <f>Pools!A5</f>
        <v>Pool A</v>
      </c>
      <c r="C4" s="49" t="str">
        <f>Pools!A7</f>
        <v>#14, TRIBELNIG / WEINDL</v>
      </c>
      <c r="D4" s="50">
        <f>IF(ISBLANK(E4),"",IF(E4&gt;E5,1,0) + IF(F4&gt;F5,1,0) + IF(G4&gt;G5,1,0))</f>
        <v>0</v>
      </c>
      <c r="E4" s="51">
        <v>11.0</v>
      </c>
      <c r="F4" s="51">
        <v>9.0</v>
      </c>
      <c r="G4" s="50"/>
      <c r="H4" s="51" t="s">
        <v>231</v>
      </c>
      <c r="I4" s="50" t="str">
        <f>C19</f>
        <v>#24, SCHENK / SCHWARZ</v>
      </c>
      <c r="J4" s="52">
        <v>0.375</v>
      </c>
      <c r="K4" s="53"/>
      <c r="L4" s="47" t="str">
        <f>IF(D4="","Winner Pool A #2",IF(D4=2,C4,C5))</f>
        <v>#15, MATĚJKOVÁ / SANCHEZ</v>
      </c>
      <c r="M4" s="47" t="str">
        <f>IF(D4="","Loser Pool A #2",IF(D4&lt;2,C4,C5))</f>
        <v>#14, TRIBELNIG / WEINDL</v>
      </c>
      <c r="N4" s="54">
        <f t="shared" ref="N4:Q4" si="3">D5</f>
        <v>2</v>
      </c>
      <c r="O4" s="54">
        <f t="shared" si="3"/>
        <v>15</v>
      </c>
      <c r="P4" s="54">
        <f t="shared" si="3"/>
        <v>15</v>
      </c>
      <c r="Q4" s="54" t="str">
        <f t="shared" si="3"/>
        <v/>
      </c>
      <c r="R4" s="48"/>
      <c r="S4" s="48"/>
      <c r="T4" s="48"/>
      <c r="U4" s="48"/>
      <c r="V4" s="48"/>
      <c r="W4" s="48"/>
      <c r="X4" s="48"/>
      <c r="Y4" s="48"/>
      <c r="Z4" s="48"/>
    </row>
    <row r="5" ht="12.0" customHeight="1">
      <c r="A5" s="49"/>
      <c r="B5" s="49"/>
      <c r="C5" s="49" t="str">
        <f>Pools!A8</f>
        <v>#15, MATĚJKOVÁ / SANCHEZ</v>
      </c>
      <c r="D5" s="50">
        <f>IF(ISBLANK(E4),"",IF(E4&lt;E5,1,0) + IF(F4&lt;F5,1,0) + IF(G4&lt;G5,1,0))</f>
        <v>2</v>
      </c>
      <c r="E5" s="51">
        <v>15.0</v>
      </c>
      <c r="F5" s="51">
        <v>15.0</v>
      </c>
      <c r="G5" s="50"/>
      <c r="H5" s="51"/>
      <c r="I5" s="50"/>
      <c r="J5" s="52"/>
      <c r="K5" s="53"/>
      <c r="L5" s="48"/>
      <c r="M5" s="48"/>
      <c r="N5" s="54">
        <f t="shared" ref="N5:Q5" si="4">D4</f>
        <v>0</v>
      </c>
      <c r="O5" s="54">
        <f t="shared" si="4"/>
        <v>11</v>
      </c>
      <c r="P5" s="54">
        <f t="shared" si="4"/>
        <v>9</v>
      </c>
      <c r="Q5" s="54" t="str">
        <f t="shared" si="4"/>
        <v/>
      </c>
      <c r="R5" s="48"/>
      <c r="S5" s="48"/>
      <c r="T5" s="48"/>
      <c r="U5" s="48"/>
      <c r="V5" s="48"/>
      <c r="W5" s="48"/>
      <c r="X5" s="48"/>
      <c r="Y5" s="48"/>
      <c r="Z5" s="48"/>
    </row>
    <row r="6" ht="12.0" customHeight="1">
      <c r="A6" s="56">
        <v>3.0</v>
      </c>
      <c r="B6" s="56" t="str">
        <f>Pools!B5</f>
        <v>Pool B</v>
      </c>
      <c r="C6" s="56" t="str">
        <f>Pools!B6</f>
        <v>#2, ELSNER / PFAU</v>
      </c>
      <c r="D6" s="50">
        <f>IF(ISBLANK(E6),"",IF(E6&gt;E7,1,0) + IF(F6&gt;F7,1,0) + IF(G6&gt;G7,1,0))</f>
        <v>2</v>
      </c>
      <c r="E6" s="51">
        <v>15.0</v>
      </c>
      <c r="F6" s="51">
        <v>15.0</v>
      </c>
      <c r="G6" s="50"/>
      <c r="H6" s="51" t="s">
        <v>232</v>
      </c>
      <c r="I6" s="50" t="str">
        <f>C22</f>
        <v>#6, SCHLAX / WAGNER</v>
      </c>
      <c r="J6" s="52">
        <v>0.375</v>
      </c>
      <c r="K6" s="53"/>
      <c r="L6" s="47" t="str">
        <f>IF(D6="","Winner Pool B #1",IF(D6=2,C6,C7))</f>
        <v>#2, ELSNER / PFAU</v>
      </c>
      <c r="M6" s="47" t="str">
        <f>IF(D6="","Loser Pool B #1",IF(D6&lt;2,C6,C7))</f>
        <v>#27, MACINKOVIC / WAGNER</v>
      </c>
      <c r="N6" s="54">
        <f t="shared" ref="N6:Q6" si="5">D7</f>
        <v>0</v>
      </c>
      <c r="O6" s="54">
        <f t="shared" si="5"/>
        <v>3</v>
      </c>
      <c r="P6" s="54">
        <f t="shared" si="5"/>
        <v>5</v>
      </c>
      <c r="Q6" s="54" t="str">
        <f t="shared" si="5"/>
        <v/>
      </c>
      <c r="R6" s="48"/>
      <c r="S6" s="48"/>
      <c r="T6" s="48"/>
      <c r="U6" s="48"/>
      <c r="V6" s="48"/>
      <c r="W6" s="48"/>
      <c r="X6" s="48"/>
      <c r="Y6" s="48"/>
      <c r="Z6" s="48"/>
    </row>
    <row r="7" ht="12.0" customHeight="1">
      <c r="A7" s="56"/>
      <c r="B7" s="56"/>
      <c r="C7" s="56" t="str">
        <f>Pools!B9</f>
        <v>#27, MACINKOVIC / WAGNER</v>
      </c>
      <c r="D7" s="50">
        <f>IF(ISBLANK(E6),"",IF(E6&lt;E7,1,0) + IF(F6&lt;F7,1,0) + IF(G6&lt;G7,1,0))</f>
        <v>0</v>
      </c>
      <c r="E7" s="51">
        <v>3.0</v>
      </c>
      <c r="F7" s="51">
        <v>5.0</v>
      </c>
      <c r="G7" s="50"/>
      <c r="H7" s="51"/>
      <c r="I7" s="50"/>
      <c r="J7" s="52"/>
      <c r="K7" s="53"/>
      <c r="L7" s="48"/>
      <c r="M7" s="48"/>
      <c r="N7" s="54">
        <f t="shared" ref="N7:Q7" si="6">D6</f>
        <v>2</v>
      </c>
      <c r="O7" s="54">
        <f t="shared" si="6"/>
        <v>15</v>
      </c>
      <c r="P7" s="54">
        <f t="shared" si="6"/>
        <v>15</v>
      </c>
      <c r="Q7" s="54" t="str">
        <f t="shared" si="6"/>
        <v/>
      </c>
      <c r="R7" s="48"/>
      <c r="S7" s="48"/>
      <c r="T7" s="48"/>
      <c r="U7" s="48"/>
      <c r="V7" s="48"/>
      <c r="W7" s="48"/>
      <c r="X7" s="48"/>
      <c r="Y7" s="48"/>
      <c r="Z7" s="48"/>
    </row>
    <row r="8" ht="12.0" customHeight="1">
      <c r="A8" s="56">
        <v>4.0</v>
      </c>
      <c r="B8" s="56" t="str">
        <f>Pools!B5</f>
        <v>Pool B</v>
      </c>
      <c r="C8" s="56" t="str">
        <f>Pools!B7</f>
        <v>#13, SZUDA / STÜRZ</v>
      </c>
      <c r="D8" s="50">
        <f>IF(ISBLANK(E8),"",IF(E8&gt;E9,1,0) + IF(F8&gt;F9,1,0) + IF(G8&gt;G9,1,0))</f>
        <v>2</v>
      </c>
      <c r="E8" s="51">
        <v>15.0</v>
      </c>
      <c r="F8" s="51">
        <v>15.0</v>
      </c>
      <c r="G8" s="50"/>
      <c r="H8" s="51" t="s">
        <v>233</v>
      </c>
      <c r="I8" s="50" t="str">
        <f>C23</f>
        <v>#23, GIFFINGER / FREY</v>
      </c>
      <c r="J8" s="52">
        <v>0.375</v>
      </c>
      <c r="K8" s="53"/>
      <c r="L8" s="47" t="str">
        <f>IF(D8="","Winner Pool B #2",IF(D8=2,C8,C9))</f>
        <v>#13, SZUDA / STÜRZ</v>
      </c>
      <c r="M8" s="47" t="str">
        <f>IF(D8="","Loser Pool B #2",IF(D8&lt;2,C8,C9))</f>
        <v>#16, YESSIMOVA / GLANNINGER</v>
      </c>
      <c r="N8" s="54">
        <f t="shared" ref="N8:Q8" si="7">D9</f>
        <v>0</v>
      </c>
      <c r="O8" s="54">
        <f t="shared" si="7"/>
        <v>6</v>
      </c>
      <c r="P8" s="54">
        <f t="shared" si="7"/>
        <v>5</v>
      </c>
      <c r="Q8" s="54" t="str">
        <f t="shared" si="7"/>
        <v/>
      </c>
      <c r="R8" s="48"/>
      <c r="S8" s="48"/>
      <c r="T8" s="48"/>
      <c r="U8" s="48"/>
      <c r="V8" s="48"/>
      <c r="W8" s="48"/>
      <c r="X8" s="48"/>
      <c r="Y8" s="48"/>
      <c r="Z8" s="48"/>
    </row>
    <row r="9" ht="12.0" customHeight="1">
      <c r="A9" s="56"/>
      <c r="B9" s="56"/>
      <c r="C9" s="56" t="str">
        <f>Pools!B8</f>
        <v>#16, YESSIMOVA / GLANNINGER</v>
      </c>
      <c r="D9" s="50">
        <f>IF(ISBLANK(E8),"",IF(E8&lt;E9,1,0) + IF(F8&lt;F9,1,0) + IF(G8&lt;G9,1,0))</f>
        <v>0</v>
      </c>
      <c r="E9" s="51">
        <v>6.0</v>
      </c>
      <c r="F9" s="51">
        <v>5.0</v>
      </c>
      <c r="G9" s="50"/>
      <c r="H9" s="51"/>
      <c r="I9" s="50"/>
      <c r="J9" s="52"/>
      <c r="K9" s="53"/>
      <c r="L9" s="48"/>
      <c r="M9" s="48"/>
      <c r="N9" s="54">
        <f t="shared" ref="N9:Q9" si="8">D8</f>
        <v>2</v>
      </c>
      <c r="O9" s="54">
        <f t="shared" si="8"/>
        <v>15</v>
      </c>
      <c r="P9" s="54">
        <f t="shared" si="8"/>
        <v>15</v>
      </c>
      <c r="Q9" s="54" t="str">
        <f t="shared" si="8"/>
        <v/>
      </c>
      <c r="R9" s="48"/>
      <c r="S9" s="48"/>
      <c r="T9" s="48"/>
      <c r="U9" s="48"/>
      <c r="V9" s="48"/>
      <c r="W9" s="48"/>
      <c r="X9" s="48"/>
      <c r="Y9" s="48"/>
      <c r="Z9" s="48"/>
    </row>
    <row r="10" ht="12.0" customHeight="1">
      <c r="A10" s="57">
        <v>5.0</v>
      </c>
      <c r="B10" s="57" t="str">
        <f>Pools!C5</f>
        <v>Pool C</v>
      </c>
      <c r="C10" s="57" t="str">
        <f>Pools!C6</f>
        <v>#3, HOFSTETTER / SHKARUPA</v>
      </c>
      <c r="D10" s="50">
        <f>IF(ISBLANK(E10),"",IF(E10&gt;E11,1,0) + IF(F10&gt;F11,1,0) + IF(G10&gt;G11,1,0))</f>
        <v>2</v>
      </c>
      <c r="E10" s="51">
        <v>15.0</v>
      </c>
      <c r="F10" s="51">
        <v>15.0</v>
      </c>
      <c r="G10" s="50"/>
      <c r="H10" s="51" t="s">
        <v>230</v>
      </c>
      <c r="I10" s="50" t="str">
        <f>M2</f>
        <v>#28, SCHUSTER / MASSIN</v>
      </c>
      <c r="J10" s="52">
        <v>0.3958333333333333</v>
      </c>
      <c r="K10" s="53"/>
      <c r="L10" s="47" t="str">
        <f>IF(D10="","Winner Pool C #1",IF(D10=2,C10,C11))</f>
        <v>#3, HOFSTETTER / SHKARUPA</v>
      </c>
      <c r="M10" s="47" t="str">
        <f>IF(D10="","Loser Pool C #1",IF(D10&lt;2,C10,C11))</f>
        <v>#26, KAMIENIARZ / SAMS</v>
      </c>
      <c r="N10" s="54">
        <f t="shared" ref="N10:Q10" si="9">D11</f>
        <v>0</v>
      </c>
      <c r="O10" s="54">
        <f t="shared" si="9"/>
        <v>8</v>
      </c>
      <c r="P10" s="54">
        <f t="shared" si="9"/>
        <v>10</v>
      </c>
      <c r="Q10" s="54" t="str">
        <f t="shared" si="9"/>
        <v/>
      </c>
      <c r="R10" s="48"/>
      <c r="S10" s="48"/>
      <c r="T10" s="48"/>
      <c r="U10" s="48"/>
      <c r="V10" s="48"/>
      <c r="W10" s="48"/>
      <c r="X10" s="48"/>
      <c r="Y10" s="48"/>
      <c r="Z10" s="48"/>
    </row>
    <row r="11" ht="12.0" customHeight="1">
      <c r="A11" s="57"/>
      <c r="B11" s="57"/>
      <c r="C11" s="57" t="str">
        <f>Pools!C9</f>
        <v>#26, KAMIENIARZ / SAMS</v>
      </c>
      <c r="D11" s="50">
        <f>IF(ISBLANK(E10),"",IF(E10&lt;E11,1,0) + IF(F10&lt;F11,1,0) + IF(G10&lt;G11,1,0))</f>
        <v>0</v>
      </c>
      <c r="E11" s="51">
        <v>8.0</v>
      </c>
      <c r="F11" s="51">
        <v>10.0</v>
      </c>
      <c r="G11" s="50"/>
      <c r="H11" s="51"/>
      <c r="I11" s="50"/>
      <c r="J11" s="52"/>
      <c r="K11" s="53"/>
      <c r="L11" s="48"/>
      <c r="M11" s="48"/>
      <c r="N11" s="54">
        <f t="shared" ref="N11:Q11" si="10">D10</f>
        <v>2</v>
      </c>
      <c r="O11" s="54">
        <f t="shared" si="10"/>
        <v>15</v>
      </c>
      <c r="P11" s="54">
        <f t="shared" si="10"/>
        <v>15</v>
      </c>
      <c r="Q11" s="54" t="str">
        <f t="shared" si="10"/>
        <v/>
      </c>
      <c r="R11" s="48"/>
      <c r="S11" s="48"/>
      <c r="T11" s="48"/>
      <c r="U11" s="48"/>
      <c r="V11" s="48"/>
      <c r="W11" s="48"/>
      <c r="X11" s="48"/>
      <c r="Y11" s="48"/>
      <c r="Z11" s="48"/>
    </row>
    <row r="12" ht="12.0" customHeight="1">
      <c r="A12" s="57">
        <v>6.0</v>
      </c>
      <c r="B12" s="57" t="str">
        <f>Pools!C5</f>
        <v>Pool C</v>
      </c>
      <c r="C12" s="57" t="str">
        <f>Pools!C7</f>
        <v>#12, HAGER / WICHO</v>
      </c>
      <c r="D12" s="50">
        <f>IF(ISBLANK(E12),"",IF(E12&gt;E13,1,0) + IF(F12&gt;F13,1,0) + IF(G12&gt;G13,1,0))</f>
        <v>0</v>
      </c>
      <c r="E12" s="51">
        <v>8.0</v>
      </c>
      <c r="F12" s="51">
        <v>11.0</v>
      </c>
      <c r="G12" s="50"/>
      <c r="H12" s="51" t="s">
        <v>231</v>
      </c>
      <c r="I12" s="50" t="str">
        <f>M4</f>
        <v>#14, TRIBELNIG / WEINDL</v>
      </c>
      <c r="J12" s="52">
        <v>0.3958333333333333</v>
      </c>
      <c r="K12" s="53"/>
      <c r="L12" s="47" t="str">
        <f>IF(D12="","Winner Pool C #2",IF(D12=2,C12,C13))</f>
        <v>#17, PAUMANN / ANGERER</v>
      </c>
      <c r="M12" s="47" t="str">
        <f>IF(D12="","Loser Pool C #2",IF(D12&lt;2,C12,C13))</f>
        <v>#12, HAGER / WICHO</v>
      </c>
      <c r="N12" s="54">
        <f t="shared" ref="N12:Q12" si="11">D13</f>
        <v>2</v>
      </c>
      <c r="O12" s="54">
        <f t="shared" si="11"/>
        <v>15</v>
      </c>
      <c r="P12" s="54">
        <f t="shared" si="11"/>
        <v>15</v>
      </c>
      <c r="Q12" s="54" t="str">
        <f t="shared" si="11"/>
        <v/>
      </c>
      <c r="R12" s="48"/>
      <c r="S12" s="48"/>
      <c r="T12" s="48"/>
      <c r="U12" s="48"/>
      <c r="V12" s="48"/>
      <c r="W12" s="48"/>
      <c r="X12" s="48"/>
      <c r="Y12" s="48"/>
      <c r="Z12" s="48"/>
    </row>
    <row r="13" ht="12.0" customHeight="1">
      <c r="A13" s="57"/>
      <c r="B13" s="57"/>
      <c r="C13" s="57" t="str">
        <f>Pools!C8</f>
        <v>#17, PAUMANN / ANGERER</v>
      </c>
      <c r="D13" s="50">
        <f>IF(ISBLANK(E12),"",IF(E12&lt;E13,1,0) + IF(F12&lt;F13,1,0) + IF(G12&lt;G13,1,0))</f>
        <v>2</v>
      </c>
      <c r="E13" s="51">
        <v>15.0</v>
      </c>
      <c r="F13" s="51">
        <v>15.0</v>
      </c>
      <c r="G13" s="50"/>
      <c r="H13" s="51"/>
      <c r="I13" s="50"/>
      <c r="J13" s="52"/>
      <c r="K13" s="53"/>
      <c r="L13" s="48"/>
      <c r="M13" s="48"/>
      <c r="N13" s="54">
        <f t="shared" ref="N13:Q13" si="12">D12</f>
        <v>0</v>
      </c>
      <c r="O13" s="54">
        <f t="shared" si="12"/>
        <v>8</v>
      </c>
      <c r="P13" s="54">
        <f t="shared" si="12"/>
        <v>11</v>
      </c>
      <c r="Q13" s="54" t="str">
        <f t="shared" si="12"/>
        <v/>
      </c>
      <c r="R13" s="48"/>
      <c r="S13" s="48"/>
      <c r="T13" s="48"/>
      <c r="U13" s="48"/>
      <c r="V13" s="48"/>
      <c r="W13" s="48"/>
      <c r="X13" s="48"/>
      <c r="Y13" s="48"/>
      <c r="Z13" s="48"/>
    </row>
    <row r="14" ht="12.0" customHeight="1">
      <c r="A14" s="58">
        <v>7.0</v>
      </c>
      <c r="B14" s="58" t="str">
        <f>Pools!D5</f>
        <v>Pool D</v>
      </c>
      <c r="C14" s="58" t="str">
        <f>Pools!D6</f>
        <v>#4, KREMSER / MASCHERBAUER</v>
      </c>
      <c r="D14" s="50">
        <f>IF(ISBLANK(E14),"",IF(E14&gt;E15,1,0) + IF(F14&gt;F15,1,0) + IF(G14&gt;G15,1,0))</f>
        <v>2</v>
      </c>
      <c r="E14" s="51">
        <v>15.0</v>
      </c>
      <c r="F14" s="51">
        <v>15.0</v>
      </c>
      <c r="G14" s="50"/>
      <c r="H14" s="51" t="s">
        <v>232</v>
      </c>
      <c r="I14" s="50" t="str">
        <f>M6</f>
        <v>#27, MACINKOVIC / WAGNER</v>
      </c>
      <c r="J14" s="52">
        <v>0.3958333333333333</v>
      </c>
      <c r="K14" s="53"/>
      <c r="L14" s="47" t="str">
        <f>IF(D14="","Winner Pool D #1",IF(D14=2,C14,C15))</f>
        <v>#4, KREMSER / MASCHERBAUER</v>
      </c>
      <c r="M14" s="47" t="str">
        <f>IF(D14="","Loser Pool D #1",IF(D14&lt;2,C14,C15))</f>
        <v>#25, PRINZHORN / SALLMANNSHOFER</v>
      </c>
      <c r="N14" s="54">
        <f t="shared" ref="N14:Q14" si="13">D15</f>
        <v>0</v>
      </c>
      <c r="O14" s="54">
        <f t="shared" si="13"/>
        <v>1</v>
      </c>
      <c r="P14" s="54">
        <f t="shared" si="13"/>
        <v>6</v>
      </c>
      <c r="Q14" s="54" t="str">
        <f t="shared" si="13"/>
        <v/>
      </c>
      <c r="R14" s="48"/>
      <c r="S14" s="48"/>
      <c r="T14" s="48"/>
      <c r="U14" s="48"/>
      <c r="V14" s="48"/>
      <c r="W14" s="48"/>
      <c r="X14" s="48"/>
      <c r="Y14" s="48"/>
      <c r="Z14" s="48"/>
    </row>
    <row r="15" ht="12.0" customHeight="1">
      <c r="A15" s="58"/>
      <c r="B15" s="58"/>
      <c r="C15" s="58" t="str">
        <f>Pools!D9</f>
        <v>#25, PRINZHORN / SALLMANNSHOFER</v>
      </c>
      <c r="D15" s="50">
        <f>IF(ISBLANK(E14),"",IF(E14&lt;E15,1,0) + IF(F14&lt;F15,1,0) + IF(G14&lt;G15,1,0))</f>
        <v>0</v>
      </c>
      <c r="E15" s="51">
        <v>1.0</v>
      </c>
      <c r="F15" s="51">
        <v>6.0</v>
      </c>
      <c r="G15" s="50"/>
      <c r="H15" s="51"/>
      <c r="I15" s="50"/>
      <c r="J15" s="52"/>
      <c r="K15" s="53"/>
      <c r="L15" s="48"/>
      <c r="M15" s="48"/>
      <c r="N15" s="54">
        <f t="shared" ref="N15:Q15" si="14">D14</f>
        <v>2</v>
      </c>
      <c r="O15" s="54">
        <f t="shared" si="14"/>
        <v>15</v>
      </c>
      <c r="P15" s="54">
        <f t="shared" si="14"/>
        <v>15</v>
      </c>
      <c r="Q15" s="54" t="str">
        <f t="shared" si="14"/>
        <v/>
      </c>
      <c r="R15" s="48"/>
      <c r="S15" s="48"/>
      <c r="T15" s="48"/>
      <c r="U15" s="48"/>
      <c r="V15" s="48"/>
      <c r="W15" s="48"/>
      <c r="X15" s="48"/>
      <c r="Y15" s="48"/>
      <c r="Z15" s="48"/>
    </row>
    <row r="16" ht="12.0" customHeight="1">
      <c r="A16" s="58">
        <v>8.0</v>
      </c>
      <c r="B16" s="58" t="str">
        <f>Pools!D5</f>
        <v>Pool D</v>
      </c>
      <c r="C16" s="58" t="str">
        <f>Pools!D7</f>
        <v>#11, HEISZENBERGER / WAJDA</v>
      </c>
      <c r="D16" s="50">
        <f>IF(ISBLANK(E16),"",IF(E16&gt;E17,1,0) + IF(F16&gt;F17,1,0) + IF(G16&gt;G17,1,0))</f>
        <v>2</v>
      </c>
      <c r="E16" s="51">
        <v>15.0</v>
      </c>
      <c r="F16" s="51">
        <v>14.0</v>
      </c>
      <c r="G16" s="51">
        <v>15.0</v>
      </c>
      <c r="H16" s="51" t="s">
        <v>233</v>
      </c>
      <c r="I16" s="50" t="str">
        <f>M8</f>
        <v>#16, YESSIMOVA / GLANNINGER</v>
      </c>
      <c r="J16" s="52">
        <v>0.3958333333333333</v>
      </c>
      <c r="K16" s="53"/>
      <c r="L16" s="47" t="str">
        <f>IF(D16="","Winner Pool D #2",IF(D16=2,C16,C17))</f>
        <v>#11, HEISZENBERGER / WAJDA</v>
      </c>
      <c r="M16" s="47" t="str">
        <f>IF(D16="","Loser Pool D #2",IF(D16&lt;2,C16,C17))</f>
        <v>#18, BEYER / SCHINAGL</v>
      </c>
      <c r="N16" s="54">
        <f t="shared" ref="N16:Q16" si="15">D17</f>
        <v>1</v>
      </c>
      <c r="O16" s="54">
        <f t="shared" si="15"/>
        <v>11</v>
      </c>
      <c r="P16" s="54">
        <f t="shared" si="15"/>
        <v>16</v>
      </c>
      <c r="Q16" s="54">
        <f t="shared" si="15"/>
        <v>4</v>
      </c>
      <c r="R16" s="48"/>
      <c r="S16" s="48"/>
      <c r="T16" s="48"/>
      <c r="U16" s="48"/>
      <c r="V16" s="48"/>
      <c r="W16" s="48"/>
      <c r="X16" s="48"/>
      <c r="Y16" s="48"/>
      <c r="Z16" s="48"/>
    </row>
    <row r="17" ht="12.0" customHeight="1">
      <c r="A17" s="58"/>
      <c r="B17" s="58"/>
      <c r="C17" s="58" t="str">
        <f>Pools!D8</f>
        <v>#18, BEYER / SCHINAGL</v>
      </c>
      <c r="D17" s="50">
        <f>IF(ISBLANK(E16),"",IF(E16&lt;E17,1,0) + IF(F16&lt;F17,1,0) + IF(G16&lt;G17,1,0))</f>
        <v>1</v>
      </c>
      <c r="E17" s="51">
        <v>11.0</v>
      </c>
      <c r="F17" s="51">
        <v>16.0</v>
      </c>
      <c r="G17" s="51">
        <v>4.0</v>
      </c>
      <c r="H17" s="51"/>
      <c r="I17" s="50"/>
      <c r="J17" s="52"/>
      <c r="K17" s="53"/>
      <c r="L17" s="48"/>
      <c r="M17" s="48"/>
      <c r="N17" s="54">
        <f t="shared" ref="N17:Q17" si="16">D16</f>
        <v>2</v>
      </c>
      <c r="O17" s="54">
        <f t="shared" si="16"/>
        <v>15</v>
      </c>
      <c r="P17" s="54">
        <f t="shared" si="16"/>
        <v>14</v>
      </c>
      <c r="Q17" s="54">
        <f t="shared" si="16"/>
        <v>15</v>
      </c>
      <c r="R17" s="48"/>
      <c r="S17" s="48"/>
      <c r="T17" s="48"/>
      <c r="U17" s="48"/>
      <c r="V17" s="48"/>
      <c r="W17" s="48"/>
      <c r="X17" s="48"/>
      <c r="Y17" s="48"/>
      <c r="Z17" s="48"/>
    </row>
    <row r="18" ht="12.0" customHeight="1">
      <c r="A18" s="59">
        <v>9.0</v>
      </c>
      <c r="B18" s="59" t="str">
        <f>Pools!E5</f>
        <v>Pool E</v>
      </c>
      <c r="C18" s="59" t="str">
        <f>Pools!E6</f>
        <v>#5, BISANZ / HAMMARBERG</v>
      </c>
      <c r="D18" s="50">
        <f>IF(ISBLANK(E18),"",IF(E18&gt;E19,1,0) + IF(F18&gt;F19,1,0) + IF(G18&gt;G19,1,0))</f>
        <v>2</v>
      </c>
      <c r="E18" s="51">
        <v>15.0</v>
      </c>
      <c r="F18" s="51">
        <v>15.0</v>
      </c>
      <c r="G18" s="50"/>
      <c r="H18" s="51" t="s">
        <v>230</v>
      </c>
      <c r="I18" s="50" t="str">
        <f>M10</f>
        <v>#26, KAMIENIARZ / SAMS</v>
      </c>
      <c r="J18" s="52">
        <v>0.4166666666666667</v>
      </c>
      <c r="K18" s="53"/>
      <c r="L18" s="47" t="str">
        <f>IF(D18="","Winner Pool E #1",IF(D18=2,C18,C19))</f>
        <v>#5, BISANZ / HAMMARBERG</v>
      </c>
      <c r="M18" s="47" t="str">
        <f>IF(D18="","Loser Pool E #1",IF(D18&lt;2,C18,C19))</f>
        <v>#24, SCHENK / SCHWARZ</v>
      </c>
      <c r="N18" s="54">
        <f t="shared" ref="N18:Q18" si="17">D19</f>
        <v>0</v>
      </c>
      <c r="O18" s="54">
        <f t="shared" si="17"/>
        <v>4</v>
      </c>
      <c r="P18" s="54">
        <f t="shared" si="17"/>
        <v>5</v>
      </c>
      <c r="Q18" s="54" t="str">
        <f t="shared" si="17"/>
        <v/>
      </c>
      <c r="R18" s="48"/>
      <c r="S18" s="48"/>
      <c r="T18" s="48"/>
      <c r="U18" s="48"/>
      <c r="V18" s="48"/>
      <c r="W18" s="48"/>
      <c r="X18" s="48"/>
      <c r="Y18" s="48"/>
      <c r="Z18" s="48"/>
    </row>
    <row r="19" ht="12.0" customHeight="1">
      <c r="A19" s="59"/>
      <c r="B19" s="59"/>
      <c r="C19" s="59" t="str">
        <f>Pools!E9</f>
        <v>#24, SCHENK / SCHWARZ</v>
      </c>
      <c r="D19" s="50">
        <f>IF(ISBLANK(E18),"",IF(E18&lt;E19,1,0) + IF(F18&lt;F19,1,0) + IF(G18&lt;G19,1,0))</f>
        <v>0</v>
      </c>
      <c r="E19" s="51">
        <v>4.0</v>
      </c>
      <c r="F19" s="51">
        <v>5.0</v>
      </c>
      <c r="G19" s="50"/>
      <c r="H19" s="51"/>
      <c r="I19" s="50"/>
      <c r="J19" s="52"/>
      <c r="K19" s="53"/>
      <c r="L19" s="48"/>
      <c r="M19" s="48"/>
      <c r="N19" s="54">
        <f t="shared" ref="N19:Q19" si="18">D18</f>
        <v>2</v>
      </c>
      <c r="O19" s="54">
        <f t="shared" si="18"/>
        <v>15</v>
      </c>
      <c r="P19" s="54">
        <f t="shared" si="18"/>
        <v>15</v>
      </c>
      <c r="Q19" s="54" t="str">
        <f t="shared" si="18"/>
        <v/>
      </c>
      <c r="R19" s="48"/>
      <c r="S19" s="48"/>
      <c r="T19" s="48"/>
      <c r="U19" s="48"/>
      <c r="V19" s="48"/>
      <c r="W19" s="48"/>
      <c r="X19" s="48"/>
      <c r="Y19" s="48"/>
      <c r="Z19" s="48"/>
    </row>
    <row r="20" ht="12.0" customHeight="1">
      <c r="A20" s="59">
        <v>10.0</v>
      </c>
      <c r="B20" s="59" t="str">
        <f>Pools!E5</f>
        <v>Pool E</v>
      </c>
      <c r="C20" s="59" t="str">
        <f>Pools!E7</f>
        <v>#10, BOYD / STEGMÜLLER</v>
      </c>
      <c r="D20" s="50">
        <f>IF(ISBLANK(E20),"",IF(E20&gt;E21,1,0) + IF(F20&gt;F21,1,0) + IF(G20&gt;G21,1,0))</f>
        <v>2</v>
      </c>
      <c r="E20" s="51">
        <v>15.0</v>
      </c>
      <c r="F20" s="51">
        <v>15.0</v>
      </c>
      <c r="G20" s="50"/>
      <c r="H20" s="51" t="s">
        <v>231</v>
      </c>
      <c r="I20" s="50" t="str">
        <f>M12</f>
        <v>#12, HAGER / WICHO</v>
      </c>
      <c r="J20" s="52">
        <v>0.4166666666666667</v>
      </c>
      <c r="K20" s="53"/>
      <c r="L20" s="47" t="str">
        <f>IF(D20="","Winner Pool E #2",IF(D20=2,C20,C21))</f>
        <v>#10, BOYD / STEGMÜLLER</v>
      </c>
      <c r="M20" s="47" t="str">
        <f>IF(D20="","Loser Pool E #2",IF(D20&lt;2,C20,C21))</f>
        <v>#19, FERSTL-SCHMID / AIGNER</v>
      </c>
      <c r="N20" s="54">
        <f t="shared" ref="N20:Q20" si="19">D21</f>
        <v>0</v>
      </c>
      <c r="O20" s="54">
        <f t="shared" si="19"/>
        <v>4</v>
      </c>
      <c r="P20" s="54">
        <f t="shared" si="19"/>
        <v>12</v>
      </c>
      <c r="Q20" s="54" t="str">
        <f t="shared" si="19"/>
        <v/>
      </c>
      <c r="R20" s="48"/>
      <c r="S20" s="48"/>
      <c r="T20" s="48"/>
      <c r="U20" s="48"/>
      <c r="V20" s="48"/>
      <c r="W20" s="48"/>
      <c r="X20" s="48"/>
      <c r="Y20" s="48"/>
      <c r="Z20" s="48"/>
    </row>
    <row r="21" ht="12.0" customHeight="1">
      <c r="A21" s="59"/>
      <c r="B21" s="59"/>
      <c r="C21" s="59" t="str">
        <f>Pools!E8</f>
        <v>#19, FERSTL-SCHMID / AIGNER</v>
      </c>
      <c r="D21" s="50">
        <f>IF(ISBLANK(E20),"",IF(E20&lt;E21,1,0) + IF(F20&lt;F21,1,0) + IF(G20&lt;G21,1,0))</f>
        <v>0</v>
      </c>
      <c r="E21" s="51">
        <v>4.0</v>
      </c>
      <c r="F21" s="51">
        <v>12.0</v>
      </c>
      <c r="G21" s="50"/>
      <c r="H21" s="51"/>
      <c r="I21" s="50"/>
      <c r="J21" s="52"/>
      <c r="K21" s="53"/>
      <c r="L21" s="48"/>
      <c r="M21" s="48"/>
      <c r="N21" s="54">
        <f t="shared" ref="N21:Q21" si="20">D20</f>
        <v>2</v>
      </c>
      <c r="O21" s="54">
        <f t="shared" si="20"/>
        <v>15</v>
      </c>
      <c r="P21" s="54">
        <f t="shared" si="20"/>
        <v>15</v>
      </c>
      <c r="Q21" s="54" t="str">
        <f t="shared" si="20"/>
        <v/>
      </c>
      <c r="R21" s="48"/>
      <c r="S21" s="48"/>
      <c r="T21" s="48"/>
      <c r="U21" s="48"/>
      <c r="V21" s="48"/>
      <c r="W21" s="48"/>
      <c r="X21" s="48"/>
      <c r="Y21" s="48"/>
      <c r="Z21" s="48"/>
    </row>
    <row r="22" ht="12.0" customHeight="1">
      <c r="A22" s="60">
        <v>11.0</v>
      </c>
      <c r="B22" s="60" t="str">
        <f>Pools!F5</f>
        <v>Pool F</v>
      </c>
      <c r="C22" s="60" t="str">
        <f>Pools!F6</f>
        <v>#6, SCHLAX / WAGNER</v>
      </c>
      <c r="D22" s="50">
        <f>IF(ISBLANK(E22),"",IF(E22&gt;E23,1,0) + IF(F22&gt;F23,1,0) + IF(G22&gt;G23,1,0))</f>
        <v>2</v>
      </c>
      <c r="E22" s="51">
        <v>15.0</v>
      </c>
      <c r="F22" s="51">
        <v>15.0</v>
      </c>
      <c r="G22" s="50"/>
      <c r="H22" s="51" t="s">
        <v>232</v>
      </c>
      <c r="I22" s="50" t="str">
        <f>M14</f>
        <v>#25, PRINZHORN / SALLMANNSHOFER</v>
      </c>
      <c r="J22" s="52">
        <v>0.4166666666666667</v>
      </c>
      <c r="K22" s="53"/>
      <c r="L22" s="47" t="str">
        <f>IF(D22="","Winner Pool F #1",IF(D22=2,C22,C23))</f>
        <v>#6, SCHLAX / WAGNER</v>
      </c>
      <c r="M22" s="47" t="str">
        <f>IF(D22="","Loser Pool F #1",IF(D22&lt;2,C22,C23))</f>
        <v>#23, GIFFINGER / FREY</v>
      </c>
      <c r="N22" s="54">
        <f t="shared" ref="N22:Q22" si="21">D23</f>
        <v>0</v>
      </c>
      <c r="O22" s="54">
        <f t="shared" si="21"/>
        <v>10</v>
      </c>
      <c r="P22" s="54">
        <f t="shared" si="21"/>
        <v>9</v>
      </c>
      <c r="Q22" s="54" t="str">
        <f t="shared" si="21"/>
        <v/>
      </c>
      <c r="R22" s="48"/>
      <c r="S22" s="48"/>
      <c r="T22" s="48"/>
      <c r="U22" s="48"/>
      <c r="V22" s="48"/>
      <c r="W22" s="48"/>
      <c r="X22" s="48"/>
      <c r="Y22" s="48"/>
      <c r="Z22" s="48"/>
    </row>
    <row r="23" ht="12.0" customHeight="1">
      <c r="A23" s="60"/>
      <c r="B23" s="60"/>
      <c r="C23" s="60" t="str">
        <f>Pools!F9</f>
        <v>#23, GIFFINGER / FREY</v>
      </c>
      <c r="D23" s="50">
        <f>IF(ISBLANK(E22),"",IF(E22&lt;E23,1,0) + IF(F22&lt;F23,1,0) + IF(G22&lt;G23,1,0))</f>
        <v>0</v>
      </c>
      <c r="E23" s="51">
        <v>10.0</v>
      </c>
      <c r="F23" s="51">
        <v>9.0</v>
      </c>
      <c r="G23" s="50"/>
      <c r="H23" s="51"/>
      <c r="I23" s="50"/>
      <c r="J23" s="52"/>
      <c r="K23" s="53"/>
      <c r="L23" s="48"/>
      <c r="M23" s="48"/>
      <c r="N23" s="54">
        <f t="shared" ref="N23:Q23" si="22">D22</f>
        <v>2</v>
      </c>
      <c r="O23" s="54">
        <f t="shared" si="22"/>
        <v>15</v>
      </c>
      <c r="P23" s="54">
        <f t="shared" si="22"/>
        <v>15</v>
      </c>
      <c r="Q23" s="54" t="str">
        <f t="shared" si="22"/>
        <v/>
      </c>
      <c r="R23" s="48"/>
      <c r="S23" s="48"/>
      <c r="T23" s="48"/>
      <c r="U23" s="48"/>
      <c r="V23" s="48"/>
      <c r="W23" s="48"/>
      <c r="X23" s="48"/>
      <c r="Y23" s="48"/>
      <c r="Z23" s="48"/>
    </row>
    <row r="24" ht="12.0" customHeight="1">
      <c r="A24" s="60">
        <v>12.0</v>
      </c>
      <c r="B24" s="60" t="str">
        <f>Pools!F5</f>
        <v>Pool F</v>
      </c>
      <c r="C24" s="60" t="str">
        <f>Pools!F7</f>
        <v>#9, PARKANYI / FAVARETTO</v>
      </c>
      <c r="D24" s="50">
        <f>IF(ISBLANK(E24),"",IF(E24&gt;E25,1,0) + IF(F24&gt;F25,1,0) + IF(G24&gt;G25,1,0))</f>
        <v>1</v>
      </c>
      <c r="E24" s="51">
        <v>15.0</v>
      </c>
      <c r="F24" s="51">
        <v>10.0</v>
      </c>
      <c r="G24" s="51">
        <v>13.0</v>
      </c>
      <c r="H24" s="51" t="s">
        <v>233</v>
      </c>
      <c r="I24" s="50" t="str">
        <f>M16</f>
        <v>#18, BEYER / SCHINAGL</v>
      </c>
      <c r="J24" s="52">
        <v>0.4166666666666667</v>
      </c>
      <c r="K24" s="53"/>
      <c r="L24" s="47" t="str">
        <f>IF(D24="","Winner Pool F #2",IF(D24=2,C24,C25))</f>
        <v>#20, HAYDN / DÜRNITZHOFER</v>
      </c>
      <c r="M24" s="47" t="str">
        <f>IF(D24="","Loser Pool F #2",IF(D24&lt;2,C24,C25))</f>
        <v>#9, PARKANYI / FAVARETTO</v>
      </c>
      <c r="N24" s="54">
        <f t="shared" ref="N24:Q24" si="23">D25</f>
        <v>2</v>
      </c>
      <c r="O24" s="54">
        <f t="shared" si="23"/>
        <v>8</v>
      </c>
      <c r="P24" s="54">
        <f t="shared" si="23"/>
        <v>15</v>
      </c>
      <c r="Q24" s="54">
        <f t="shared" si="23"/>
        <v>15</v>
      </c>
      <c r="R24" s="48"/>
      <c r="S24" s="48"/>
      <c r="T24" s="48"/>
      <c r="U24" s="48"/>
      <c r="V24" s="48"/>
      <c r="W24" s="48"/>
      <c r="X24" s="48"/>
      <c r="Y24" s="48"/>
      <c r="Z24" s="48"/>
    </row>
    <row r="25" ht="12.0" customHeight="1">
      <c r="A25" s="60"/>
      <c r="B25" s="60"/>
      <c r="C25" s="60" t="str">
        <f>Pools!F8</f>
        <v>#20, HAYDN / DÜRNITZHOFER</v>
      </c>
      <c r="D25" s="50">
        <f>IF(ISBLANK(E24),"",IF(E24&lt;E25,1,0) + IF(F24&lt;F25,1,0) + IF(G24&lt;G25,1,0))</f>
        <v>2</v>
      </c>
      <c r="E25" s="51">
        <v>8.0</v>
      </c>
      <c r="F25" s="51">
        <v>15.0</v>
      </c>
      <c r="G25" s="51">
        <v>15.0</v>
      </c>
      <c r="H25" s="51"/>
      <c r="I25" s="50"/>
      <c r="J25" s="52"/>
      <c r="K25" s="53"/>
      <c r="L25" s="48"/>
      <c r="M25" s="48"/>
      <c r="N25" s="54">
        <f t="shared" ref="N25:Q25" si="24">D24</f>
        <v>1</v>
      </c>
      <c r="O25" s="54">
        <f t="shared" si="24"/>
        <v>15</v>
      </c>
      <c r="P25" s="54">
        <f t="shared" si="24"/>
        <v>10</v>
      </c>
      <c r="Q25" s="54">
        <f t="shared" si="24"/>
        <v>13</v>
      </c>
      <c r="R25" s="48"/>
      <c r="S25" s="48"/>
      <c r="T25" s="48"/>
      <c r="U25" s="48"/>
      <c r="V25" s="48"/>
      <c r="W25" s="48"/>
      <c r="X25" s="48"/>
      <c r="Y25" s="48"/>
      <c r="Z25" s="48"/>
    </row>
    <row r="26" ht="12.0" customHeight="1">
      <c r="A26" s="61">
        <v>13.0</v>
      </c>
      <c r="B26" s="61" t="s">
        <v>216</v>
      </c>
      <c r="C26" s="61" t="str">
        <f>Pools!G6</f>
        <v>#7, HOCHREITER / WINDISCH</v>
      </c>
      <c r="D26" s="50">
        <f>IF(ISBLANK(E26),"",IF(E26&gt;E27,1,0) + IF(F26&gt;F27,1,0) + IF(G26&gt;G27,1,0))</f>
        <v>2</v>
      </c>
      <c r="E26" s="51">
        <v>15.0</v>
      </c>
      <c r="F26" s="51">
        <v>15.0</v>
      </c>
      <c r="G26" s="50"/>
      <c r="H26" s="51" t="s">
        <v>230</v>
      </c>
      <c r="I26" s="50" t="str">
        <f>M18</f>
        <v>#24, SCHENK / SCHWARZ</v>
      </c>
      <c r="J26" s="52"/>
      <c r="K26" s="53"/>
      <c r="L26" s="47" t="str">
        <f>IF(D26="","Winner Pool G #1",IF(D26=2,C26,C27))</f>
        <v>#7, HOCHREITER / WINDISCH</v>
      </c>
      <c r="M26" s="47" t="str">
        <f>IF(D26="","Loser Pool G #1",IF(D26&lt;2,C26,C27))</f>
        <v>#22, PICHLER / GRAF</v>
      </c>
      <c r="N26" s="54">
        <f t="shared" ref="N26:Q26" si="25">D27</f>
        <v>0</v>
      </c>
      <c r="O26" s="54">
        <f t="shared" si="25"/>
        <v>9</v>
      </c>
      <c r="P26" s="54">
        <f t="shared" si="25"/>
        <v>11</v>
      </c>
      <c r="Q26" s="54" t="str">
        <f t="shared" si="25"/>
        <v/>
      </c>
      <c r="R26" s="48"/>
      <c r="S26" s="48"/>
      <c r="T26" s="48"/>
      <c r="U26" s="48"/>
      <c r="V26" s="48"/>
      <c r="W26" s="48"/>
      <c r="X26" s="48"/>
      <c r="Y26" s="48"/>
      <c r="Z26" s="48"/>
    </row>
    <row r="27" ht="12.0" customHeight="1">
      <c r="A27" s="61"/>
      <c r="B27" s="61"/>
      <c r="C27" s="61" t="str">
        <f>Pools!G9</f>
        <v>#22, PICHLER / GRAF</v>
      </c>
      <c r="D27" s="50">
        <f>IF(ISBLANK(E26),"",IF(E26&lt;E27,1,0) + IF(F26&lt;F27,1,0) + IF(G26&lt;G27,1,0))</f>
        <v>0</v>
      </c>
      <c r="E27" s="51">
        <v>9.0</v>
      </c>
      <c r="F27" s="51">
        <v>11.0</v>
      </c>
      <c r="G27" s="50"/>
      <c r="H27" s="51"/>
      <c r="I27" s="50"/>
      <c r="J27" s="53"/>
      <c r="K27" s="53"/>
      <c r="L27" s="48"/>
      <c r="M27" s="48"/>
      <c r="N27" s="54">
        <f t="shared" ref="N27:Q27" si="26">D26</f>
        <v>2</v>
      </c>
      <c r="O27" s="54">
        <f t="shared" si="26"/>
        <v>15</v>
      </c>
      <c r="P27" s="54">
        <f t="shared" si="26"/>
        <v>15</v>
      </c>
      <c r="Q27" s="54" t="str">
        <f t="shared" si="26"/>
        <v/>
      </c>
      <c r="R27" s="48"/>
      <c r="S27" s="48"/>
      <c r="T27" s="48"/>
      <c r="U27" s="48"/>
      <c r="V27" s="48"/>
      <c r="W27" s="48"/>
      <c r="X27" s="48"/>
      <c r="Y27" s="48"/>
      <c r="Z27" s="48"/>
    </row>
    <row r="28" ht="12.0" customHeight="1">
      <c r="A28" s="61">
        <v>14.0</v>
      </c>
      <c r="B28" s="61" t="s">
        <v>216</v>
      </c>
      <c r="C28" s="61" t="str">
        <f>Pools!G7</f>
        <v>#8, PANY / PALENCZAT</v>
      </c>
      <c r="D28" s="50">
        <f>IF(ISBLANK(E28),"",IF(E28&gt;E29,1,0) + IF(F28&gt;F29,1,0) + IF(G28&gt;G29,1,0))</f>
        <v>2</v>
      </c>
      <c r="E28" s="51">
        <v>15.0</v>
      </c>
      <c r="F28" s="51">
        <v>15.0</v>
      </c>
      <c r="G28" s="50"/>
      <c r="H28" s="51" t="s">
        <v>231</v>
      </c>
      <c r="I28" s="50" t="str">
        <f>M20</f>
        <v>#19, FERSTL-SCHMID / AIGNER</v>
      </c>
      <c r="J28" s="52"/>
      <c r="K28" s="53"/>
      <c r="L28" s="47" t="str">
        <f>IF(D28="","Winner Pool G #2",IF(D28=2,C28,C29))</f>
        <v>#8, PANY / PALENCZAT</v>
      </c>
      <c r="M28" s="47" t="str">
        <f>IF(D28="","Loser Pool G #2",IF(D28&lt;2,C28,C29))</f>
        <v>#21, MARK / WOLF</v>
      </c>
      <c r="N28" s="54">
        <f t="shared" ref="N28:Q28" si="27">D29</f>
        <v>0</v>
      </c>
      <c r="O28" s="54">
        <f t="shared" si="27"/>
        <v>8</v>
      </c>
      <c r="P28" s="54">
        <f t="shared" si="27"/>
        <v>4</v>
      </c>
      <c r="Q28" s="54" t="str">
        <f t="shared" si="27"/>
        <v/>
      </c>
      <c r="R28" s="48"/>
      <c r="S28" s="48"/>
      <c r="T28" s="48"/>
      <c r="U28" s="48"/>
      <c r="V28" s="48"/>
      <c r="W28" s="48"/>
      <c r="X28" s="48"/>
      <c r="Y28" s="48"/>
      <c r="Z28" s="48"/>
    </row>
    <row r="29" ht="12.0" customHeight="1">
      <c r="A29" s="61"/>
      <c r="B29" s="61"/>
      <c r="C29" s="61" t="str">
        <f>Pools!G8</f>
        <v>#21, MARK / WOLF</v>
      </c>
      <c r="D29" s="50">
        <f>IF(ISBLANK(E28),"",IF(E28&lt;E29,1,0) + IF(F28&lt;F29,1,0) + IF(G28&lt;G29,1,0))</f>
        <v>0</v>
      </c>
      <c r="E29" s="51">
        <v>8.0</v>
      </c>
      <c r="F29" s="51">
        <v>4.0</v>
      </c>
      <c r="G29" s="50"/>
      <c r="H29" s="51"/>
      <c r="I29" s="50"/>
      <c r="J29" s="53"/>
      <c r="K29" s="53"/>
      <c r="L29" s="48"/>
      <c r="M29" s="48"/>
      <c r="N29" s="54">
        <f t="shared" ref="N29:Q29" si="28">D28</f>
        <v>2</v>
      </c>
      <c r="O29" s="54">
        <f t="shared" si="28"/>
        <v>15</v>
      </c>
      <c r="P29" s="54">
        <f t="shared" si="28"/>
        <v>15</v>
      </c>
      <c r="Q29" s="54" t="str">
        <f t="shared" si="28"/>
        <v/>
      </c>
      <c r="R29" s="48"/>
      <c r="S29" s="48"/>
      <c r="T29" s="48"/>
      <c r="U29" s="48"/>
      <c r="V29" s="48"/>
      <c r="W29" s="48"/>
      <c r="X29" s="48"/>
      <c r="Y29" s="48"/>
      <c r="Z29" s="48"/>
    </row>
    <row r="30" ht="12.0" customHeight="1">
      <c r="A30" s="49">
        <v>15.0</v>
      </c>
      <c r="B30" s="49" t="str">
        <f>Pools!A5</f>
        <v>Pool A</v>
      </c>
      <c r="C30" s="49" t="str">
        <f>L2</f>
        <v>#1, BAUER / HASELSTEINER</v>
      </c>
      <c r="D30" s="50">
        <f>IF(ISBLANK(E30),"",IF(E30&gt;E31,1,0) + IF(F30&gt;F31,1,0) + IF(G30&gt;G31,1,0))</f>
        <v>2</v>
      </c>
      <c r="E30" s="51">
        <v>15.0</v>
      </c>
      <c r="F30" s="51">
        <v>16.0</v>
      </c>
      <c r="G30" s="50"/>
      <c r="H30" s="51" t="s">
        <v>232</v>
      </c>
      <c r="I30" s="50" t="str">
        <f>M22</f>
        <v>#23, GIFFINGER / FREY</v>
      </c>
      <c r="J30" s="52"/>
      <c r="K30" s="53"/>
      <c r="L30" s="47" t="str">
        <f>IF(D30="","Winner Pool A #3",IF(D30=2,C30,C31))</f>
        <v>#1, BAUER / HASELSTEINER</v>
      </c>
      <c r="M30" s="47" t="str">
        <f>IF(D30="","Loser Pool A #3",IF(D30&lt;2,C30,C31))</f>
        <v>#15, MATĚJKOVÁ / SANCHEZ</v>
      </c>
      <c r="N30" s="54">
        <f t="shared" ref="N30:Q30" si="29">D31</f>
        <v>0</v>
      </c>
      <c r="O30" s="54">
        <f t="shared" si="29"/>
        <v>10</v>
      </c>
      <c r="P30" s="54">
        <f t="shared" si="29"/>
        <v>14</v>
      </c>
      <c r="Q30" s="54" t="str">
        <f t="shared" si="29"/>
        <v/>
      </c>
      <c r="R30" s="48"/>
      <c r="S30" s="55" t="s">
        <v>209</v>
      </c>
      <c r="T30" s="48"/>
      <c r="U30" s="48"/>
      <c r="V30" s="48"/>
      <c r="W30" s="48"/>
      <c r="X30" s="48"/>
      <c r="Y30" s="48"/>
      <c r="Z30" s="48"/>
    </row>
    <row r="31" ht="12.0" customHeight="1">
      <c r="A31" s="49"/>
      <c r="B31" s="49"/>
      <c r="C31" s="49" t="str">
        <f>L4</f>
        <v>#15, MATĚJKOVÁ / SANCHEZ</v>
      </c>
      <c r="D31" s="50">
        <f>IF(ISBLANK(E30),"",IF(E30&lt;E31,1,0) + IF(F30&lt;F31,1,0) + IF(G30&lt;G31,1,0))</f>
        <v>0</v>
      </c>
      <c r="E31" s="51">
        <v>10.0</v>
      </c>
      <c r="F31" s="51">
        <v>14.0</v>
      </c>
      <c r="G31" s="50"/>
      <c r="H31" s="51"/>
      <c r="I31" s="50"/>
      <c r="J31" s="53"/>
      <c r="K31" s="53"/>
      <c r="L31" s="48"/>
      <c r="M31" s="48"/>
      <c r="N31" s="54">
        <f t="shared" ref="N31:Q31" si="30">D30</f>
        <v>2</v>
      </c>
      <c r="O31" s="54">
        <f t="shared" si="30"/>
        <v>15</v>
      </c>
      <c r="P31" s="54">
        <f t="shared" si="30"/>
        <v>16</v>
      </c>
      <c r="Q31" s="54" t="str">
        <f t="shared" si="30"/>
        <v/>
      </c>
      <c r="R31" s="48"/>
      <c r="S31" s="48"/>
      <c r="T31" s="48"/>
      <c r="U31" s="48"/>
      <c r="V31" s="48"/>
      <c r="W31" s="48"/>
      <c r="X31" s="48"/>
      <c r="Y31" s="48"/>
      <c r="Z31" s="48"/>
    </row>
    <row r="32" ht="12.0" customHeight="1">
      <c r="A32" s="49">
        <v>16.0</v>
      </c>
      <c r="B32" s="49" t="str">
        <f>Pools!A5</f>
        <v>Pool A</v>
      </c>
      <c r="C32" s="49" t="str">
        <f>M2</f>
        <v>#28, SCHUSTER / MASSIN</v>
      </c>
      <c r="D32" s="50">
        <f>IF(ISBLANK(E32),"",IF(E32&gt;E33,1,0) + IF(F32&gt;F33,1,0) + IF(G32&gt;G33,1,0))</f>
        <v>0</v>
      </c>
      <c r="E32" s="51">
        <v>3.0</v>
      </c>
      <c r="F32" s="51">
        <v>5.0</v>
      </c>
      <c r="G32" s="50"/>
      <c r="H32" s="51" t="s">
        <v>233</v>
      </c>
      <c r="I32" s="50" t="str">
        <f>M24</f>
        <v>#9, PARKANYI / FAVARETTO</v>
      </c>
      <c r="J32" s="52"/>
      <c r="K32" s="53"/>
      <c r="L32" s="47" t="str">
        <f>IF(D32="","Winner Pool A #4",IF(D32=2,C32,C33))</f>
        <v>#14, TRIBELNIG / WEINDL</v>
      </c>
      <c r="M32" s="47" t="str">
        <f>IF(D32="","Loser Pool A #4",IF(D32&lt;2,C32,C33))</f>
        <v>#28, SCHUSTER / MASSIN</v>
      </c>
      <c r="N32" s="54">
        <f t="shared" ref="N32:Q32" si="31">D33</f>
        <v>2</v>
      </c>
      <c r="O32" s="54">
        <f t="shared" si="31"/>
        <v>15</v>
      </c>
      <c r="P32" s="54">
        <f t="shared" si="31"/>
        <v>15</v>
      </c>
      <c r="Q32" s="54" t="str">
        <f t="shared" si="31"/>
        <v/>
      </c>
      <c r="R32" s="48"/>
      <c r="S32" s="48"/>
      <c r="T32" s="48"/>
      <c r="U32" s="48"/>
      <c r="V32" s="48"/>
      <c r="W32" s="48"/>
      <c r="X32" s="48"/>
      <c r="Y32" s="48"/>
      <c r="Z32" s="48"/>
    </row>
    <row r="33" ht="12.0" customHeight="1">
      <c r="A33" s="49"/>
      <c r="B33" s="49"/>
      <c r="C33" s="49" t="str">
        <f>M4</f>
        <v>#14, TRIBELNIG / WEINDL</v>
      </c>
      <c r="D33" s="50">
        <f>IF(ISBLANK(E32),"",IF(E32&lt;E33,1,0) + IF(F32&lt;F33,1,0) + IF(G32&lt;G33,1,0))</f>
        <v>2</v>
      </c>
      <c r="E33" s="51">
        <v>15.0</v>
      </c>
      <c r="F33" s="51">
        <v>15.0</v>
      </c>
      <c r="G33" s="50"/>
      <c r="H33" s="51"/>
      <c r="I33" s="50"/>
      <c r="J33" s="53"/>
      <c r="K33" s="53"/>
      <c r="L33" s="48"/>
      <c r="M33" s="48"/>
      <c r="N33" s="54">
        <f t="shared" ref="N33:Q33" si="32">D32</f>
        <v>0</v>
      </c>
      <c r="O33" s="54">
        <f t="shared" si="32"/>
        <v>3</v>
      </c>
      <c r="P33" s="54">
        <f t="shared" si="32"/>
        <v>5</v>
      </c>
      <c r="Q33" s="54" t="str">
        <f t="shared" si="32"/>
        <v/>
      </c>
      <c r="R33" s="48"/>
      <c r="S33" s="48"/>
      <c r="T33" s="48"/>
      <c r="U33" s="48"/>
      <c r="V33" s="48"/>
      <c r="W33" s="48"/>
      <c r="X33" s="48"/>
      <c r="Y33" s="48"/>
      <c r="Z33" s="48"/>
    </row>
    <row r="34" ht="12.0" customHeight="1">
      <c r="A34" s="56">
        <v>17.0</v>
      </c>
      <c r="B34" s="56" t="str">
        <f>Pools!B5</f>
        <v>Pool B</v>
      </c>
      <c r="C34" s="56" t="str">
        <f>L6</f>
        <v>#2, ELSNER / PFAU</v>
      </c>
      <c r="D34" s="50">
        <f>IF(ISBLANK(E34),"",IF(E34&gt;E35,1,0) + IF(F34&gt;F35,1,0) + IF(G34&gt;G35,1,0))</f>
        <v>2</v>
      </c>
      <c r="E34" s="51">
        <v>15.0</v>
      </c>
      <c r="F34" s="51">
        <v>15.0</v>
      </c>
      <c r="G34" s="50"/>
      <c r="H34" s="51" t="s">
        <v>230</v>
      </c>
      <c r="I34" s="50" t="str">
        <f>M26</f>
        <v>#22, PICHLER / GRAF</v>
      </c>
      <c r="J34" s="52"/>
      <c r="K34" s="53"/>
      <c r="L34" s="47" t="str">
        <f>IF(D34="","Winner Pool B #3",IF(D34=2,C34,C35))</f>
        <v>#2, ELSNER / PFAU</v>
      </c>
      <c r="M34" s="47" t="str">
        <f>IF(D34="","Loser Pool B #3",IF(D34&lt;2,C34,C35))</f>
        <v>#13, SZUDA / STÜRZ</v>
      </c>
      <c r="N34" s="54">
        <f t="shared" ref="N34:Q34" si="33">D35</f>
        <v>0</v>
      </c>
      <c r="O34" s="54">
        <f t="shared" si="33"/>
        <v>12</v>
      </c>
      <c r="P34" s="54">
        <f t="shared" si="33"/>
        <v>5</v>
      </c>
      <c r="Q34" s="54" t="str">
        <f t="shared" si="33"/>
        <v/>
      </c>
      <c r="R34" s="48"/>
      <c r="S34" s="48"/>
      <c r="T34" s="48"/>
      <c r="U34" s="48"/>
      <c r="V34" s="48"/>
      <c r="W34" s="48"/>
      <c r="X34" s="48"/>
      <c r="Y34" s="48"/>
      <c r="Z34" s="48"/>
    </row>
    <row r="35" ht="12.0" customHeight="1">
      <c r="A35" s="56"/>
      <c r="B35" s="56"/>
      <c r="C35" s="56" t="str">
        <f>L8</f>
        <v>#13, SZUDA / STÜRZ</v>
      </c>
      <c r="D35" s="50">
        <f>IF(ISBLANK(E34),"",IF(E34&lt;E35,1,0) + IF(F34&lt;F35,1,0) + IF(G34&lt;G35,1,0))</f>
        <v>0</v>
      </c>
      <c r="E35" s="51">
        <v>12.0</v>
      </c>
      <c r="F35" s="51">
        <v>5.0</v>
      </c>
      <c r="G35" s="50"/>
      <c r="H35" s="51"/>
      <c r="I35" s="50"/>
      <c r="J35" s="53"/>
      <c r="K35" s="53"/>
      <c r="L35" s="48"/>
      <c r="M35" s="48"/>
      <c r="N35" s="54">
        <f t="shared" ref="N35:Q35" si="34">D34</f>
        <v>2</v>
      </c>
      <c r="O35" s="54">
        <f t="shared" si="34"/>
        <v>15</v>
      </c>
      <c r="P35" s="54">
        <f t="shared" si="34"/>
        <v>15</v>
      </c>
      <c r="Q35" s="54" t="str">
        <f t="shared" si="34"/>
        <v/>
      </c>
      <c r="R35" s="48"/>
      <c r="S35" s="48"/>
      <c r="T35" s="48"/>
      <c r="U35" s="48"/>
      <c r="V35" s="48"/>
      <c r="W35" s="48"/>
      <c r="X35" s="48"/>
      <c r="Y35" s="48"/>
      <c r="Z35" s="48"/>
    </row>
    <row r="36" ht="12.0" customHeight="1">
      <c r="A36" s="56">
        <v>18.0</v>
      </c>
      <c r="B36" s="56" t="str">
        <f>Pools!B5</f>
        <v>Pool B</v>
      </c>
      <c r="C36" s="56" t="str">
        <f>M6</f>
        <v>#27, MACINKOVIC / WAGNER</v>
      </c>
      <c r="D36" s="50">
        <f>IF(ISBLANK(E36),"",IF(E36&gt;E37,1,0) + IF(F36&gt;F37,1,0) + IF(G36&gt;G37,1,0))</f>
        <v>0</v>
      </c>
      <c r="E36" s="51">
        <v>12.0</v>
      </c>
      <c r="F36" s="51">
        <v>7.0</v>
      </c>
      <c r="G36" s="50"/>
      <c r="H36" s="51" t="s">
        <v>231</v>
      </c>
      <c r="I36" s="50" t="str">
        <f>M28</f>
        <v>#21, MARK / WOLF</v>
      </c>
      <c r="J36" s="52"/>
      <c r="K36" s="53"/>
      <c r="L36" s="47" t="str">
        <f>IF(D36="","Winner Pool B #4",IF(D36=2,C36,C37))</f>
        <v>#16, YESSIMOVA / GLANNINGER</v>
      </c>
      <c r="M36" s="47" t="str">
        <f>IF(D36="","Loser Pool B #4",IF(D36&lt;2,C36,C37))</f>
        <v>#27, MACINKOVIC / WAGNER</v>
      </c>
      <c r="N36" s="54">
        <f t="shared" ref="N36:Q36" si="35">D37</f>
        <v>2</v>
      </c>
      <c r="O36" s="54">
        <f t="shared" si="35"/>
        <v>15</v>
      </c>
      <c r="P36" s="54">
        <f t="shared" si="35"/>
        <v>15</v>
      </c>
      <c r="Q36" s="54" t="str">
        <f t="shared" si="35"/>
        <v/>
      </c>
      <c r="R36" s="48"/>
      <c r="S36" s="48"/>
      <c r="T36" s="48"/>
      <c r="U36" s="48"/>
      <c r="V36" s="48"/>
      <c r="W36" s="48"/>
      <c r="X36" s="48"/>
      <c r="Y36" s="48"/>
      <c r="Z36" s="48"/>
    </row>
    <row r="37" ht="12.0" customHeight="1">
      <c r="A37" s="56"/>
      <c r="B37" s="56"/>
      <c r="C37" s="56" t="str">
        <f>M8</f>
        <v>#16, YESSIMOVA / GLANNINGER</v>
      </c>
      <c r="D37" s="50">
        <f>IF(ISBLANK(E36),"",IF(E36&lt;E37,1,0) + IF(F36&lt;F37,1,0) + IF(G36&lt;G37,1,0))</f>
        <v>2</v>
      </c>
      <c r="E37" s="51">
        <v>15.0</v>
      </c>
      <c r="F37" s="51">
        <v>15.0</v>
      </c>
      <c r="G37" s="50"/>
      <c r="H37" s="51"/>
      <c r="I37" s="50"/>
      <c r="J37" s="53"/>
      <c r="K37" s="53"/>
      <c r="L37" s="48"/>
      <c r="M37" s="48"/>
      <c r="N37" s="54">
        <f t="shared" ref="N37:Q37" si="36">D36</f>
        <v>0</v>
      </c>
      <c r="O37" s="54">
        <f t="shared" si="36"/>
        <v>12</v>
      </c>
      <c r="P37" s="54">
        <f t="shared" si="36"/>
        <v>7</v>
      </c>
      <c r="Q37" s="54" t="str">
        <f t="shared" si="36"/>
        <v/>
      </c>
      <c r="R37" s="48"/>
      <c r="S37" s="48"/>
      <c r="T37" s="48"/>
      <c r="U37" s="48"/>
      <c r="V37" s="48"/>
      <c r="W37" s="48"/>
      <c r="X37" s="48"/>
      <c r="Y37" s="48"/>
      <c r="Z37" s="48"/>
    </row>
    <row r="38" ht="12.0" customHeight="1">
      <c r="A38" s="57">
        <v>19.0</v>
      </c>
      <c r="B38" s="57" t="str">
        <f>Pools!C5</f>
        <v>Pool C</v>
      </c>
      <c r="C38" s="57" t="str">
        <f>L10</f>
        <v>#3, HOFSTETTER / SHKARUPA</v>
      </c>
      <c r="D38" s="50">
        <f>IF(ISBLANK(E38),"",IF(E38&gt;E39,1,0) + IF(F38&gt;F39,1,0) + IF(G38&gt;G39,1,0))</f>
        <v>2</v>
      </c>
      <c r="E38" s="51">
        <v>15.0</v>
      </c>
      <c r="F38" s="51">
        <v>15.0</v>
      </c>
      <c r="G38" s="50"/>
      <c r="H38" s="51" t="s">
        <v>232</v>
      </c>
      <c r="I38" s="50" t="str">
        <f>M30</f>
        <v>#15, MATĚJKOVÁ / SANCHEZ</v>
      </c>
      <c r="J38" s="52"/>
      <c r="K38" s="53"/>
      <c r="L38" s="47" t="str">
        <f>IF(D38="","Winner Pool C #3",IF(D38=2,C38,C39))</f>
        <v>#3, HOFSTETTER / SHKARUPA</v>
      </c>
      <c r="M38" s="47" t="str">
        <f>IF(D38="","Loser Pool C #3",IF(D38&lt;2,C38,C39))</f>
        <v>#17, PAUMANN / ANGERER</v>
      </c>
      <c r="N38" s="54">
        <f t="shared" ref="N38:Q38" si="37">D39</f>
        <v>0</v>
      </c>
      <c r="O38" s="54">
        <f t="shared" si="37"/>
        <v>8</v>
      </c>
      <c r="P38" s="54">
        <f t="shared" si="37"/>
        <v>6</v>
      </c>
      <c r="Q38" s="54" t="str">
        <f t="shared" si="37"/>
        <v/>
      </c>
      <c r="R38" s="48"/>
      <c r="S38" s="48"/>
      <c r="T38" s="48"/>
      <c r="U38" s="48"/>
      <c r="V38" s="48"/>
      <c r="W38" s="48"/>
      <c r="X38" s="48"/>
      <c r="Y38" s="48"/>
      <c r="Z38" s="48"/>
    </row>
    <row r="39" ht="12.0" customHeight="1">
      <c r="A39" s="57"/>
      <c r="B39" s="57"/>
      <c r="C39" s="57" t="str">
        <f>L12</f>
        <v>#17, PAUMANN / ANGERER</v>
      </c>
      <c r="D39" s="50">
        <f>IF(ISBLANK(E38),"",IF(E38&lt;E39,1,0) + IF(F38&lt;F39,1,0) + IF(G38&lt;G39,1,0))</f>
        <v>0</v>
      </c>
      <c r="E39" s="51">
        <v>8.0</v>
      </c>
      <c r="F39" s="51">
        <v>6.0</v>
      </c>
      <c r="G39" s="50"/>
      <c r="H39" s="51"/>
      <c r="I39" s="50"/>
      <c r="J39" s="53"/>
      <c r="K39" s="53"/>
      <c r="L39" s="48"/>
      <c r="M39" s="48"/>
      <c r="N39" s="54">
        <f t="shared" ref="N39:Q39" si="38">D38</f>
        <v>2</v>
      </c>
      <c r="O39" s="54">
        <f t="shared" si="38"/>
        <v>15</v>
      </c>
      <c r="P39" s="54">
        <f t="shared" si="38"/>
        <v>15</v>
      </c>
      <c r="Q39" s="54" t="str">
        <f t="shared" si="38"/>
        <v/>
      </c>
      <c r="R39" s="48"/>
      <c r="S39" s="48"/>
      <c r="T39" s="48"/>
      <c r="U39" s="48"/>
      <c r="V39" s="48"/>
      <c r="W39" s="48"/>
      <c r="X39" s="48"/>
      <c r="Y39" s="48"/>
      <c r="Z39" s="48"/>
    </row>
    <row r="40" ht="12.0" customHeight="1">
      <c r="A40" s="57">
        <v>20.0</v>
      </c>
      <c r="B40" s="57" t="str">
        <f>Pools!C5</f>
        <v>Pool C</v>
      </c>
      <c r="C40" s="57" t="str">
        <f>M10</f>
        <v>#26, KAMIENIARZ / SAMS</v>
      </c>
      <c r="D40" s="50">
        <f>IF(ISBLANK(E40),"",IF(E40&gt;E41,1,0) + IF(F40&gt;F41,1,0) + IF(G40&gt;G41,1,0))</f>
        <v>0</v>
      </c>
      <c r="E40" s="51">
        <v>8.0</v>
      </c>
      <c r="F40" s="51">
        <v>12.0</v>
      </c>
      <c r="G40" s="50"/>
      <c r="H40" s="51" t="s">
        <v>233</v>
      </c>
      <c r="I40" s="50" t="str">
        <f>M32</f>
        <v>#28, SCHUSTER / MASSIN</v>
      </c>
      <c r="J40" s="52"/>
      <c r="K40" s="53"/>
      <c r="L40" s="47" t="str">
        <f>IF(D40="","Winner Pool C #4",IF(D40=2,C40,C41))</f>
        <v>#12, HAGER / WICHO</v>
      </c>
      <c r="M40" s="47" t="str">
        <f>IF(D40="","Loser Pool C #4",IF(D40&lt;2,C40,C41))</f>
        <v>#26, KAMIENIARZ / SAMS</v>
      </c>
      <c r="N40" s="54">
        <f t="shared" ref="N40:Q40" si="39">D41</f>
        <v>2</v>
      </c>
      <c r="O40" s="54">
        <f t="shared" si="39"/>
        <v>15</v>
      </c>
      <c r="P40" s="54">
        <f t="shared" si="39"/>
        <v>15</v>
      </c>
      <c r="Q40" s="54" t="str">
        <f t="shared" si="39"/>
        <v/>
      </c>
      <c r="R40" s="48"/>
      <c r="S40" s="48"/>
      <c r="T40" s="48"/>
      <c r="U40" s="48"/>
      <c r="V40" s="48"/>
      <c r="W40" s="48"/>
      <c r="X40" s="48"/>
      <c r="Y40" s="48"/>
      <c r="Z40" s="48"/>
    </row>
    <row r="41" ht="12.0" customHeight="1">
      <c r="A41" s="57"/>
      <c r="B41" s="57"/>
      <c r="C41" s="57" t="str">
        <f>M12</f>
        <v>#12, HAGER / WICHO</v>
      </c>
      <c r="D41" s="50">
        <f>IF(ISBLANK(E40),"",IF(E40&lt;E41,1,0) + IF(F40&lt;F41,1,0) + IF(G40&lt;G41,1,0))</f>
        <v>2</v>
      </c>
      <c r="E41" s="51">
        <v>15.0</v>
      </c>
      <c r="F41" s="51">
        <v>15.0</v>
      </c>
      <c r="G41" s="50"/>
      <c r="H41" s="51"/>
      <c r="I41" s="50"/>
      <c r="J41" s="53"/>
      <c r="K41" s="53"/>
      <c r="L41" s="48"/>
      <c r="M41" s="48"/>
      <c r="N41" s="54">
        <f t="shared" ref="N41:Q41" si="40">D40</f>
        <v>0</v>
      </c>
      <c r="O41" s="54">
        <f t="shared" si="40"/>
        <v>8</v>
      </c>
      <c r="P41" s="54">
        <f t="shared" si="40"/>
        <v>12</v>
      </c>
      <c r="Q41" s="54" t="str">
        <f t="shared" si="40"/>
        <v/>
      </c>
      <c r="R41" s="48"/>
      <c r="S41" s="48"/>
      <c r="T41" s="48"/>
      <c r="U41" s="48"/>
      <c r="V41" s="48"/>
      <c r="W41" s="48"/>
      <c r="X41" s="48"/>
      <c r="Y41" s="48"/>
      <c r="Z41" s="48"/>
    </row>
    <row r="42" ht="12.0" customHeight="1">
      <c r="A42" s="58">
        <v>21.0</v>
      </c>
      <c r="B42" s="58" t="str">
        <f>Pools!D5</f>
        <v>Pool D</v>
      </c>
      <c r="C42" s="58" t="str">
        <f>L14</f>
        <v>#4, KREMSER / MASCHERBAUER</v>
      </c>
      <c r="D42" s="50">
        <f>IF(ISBLANK(E42),"",IF(E42&gt;E43,1,0) + IF(F42&gt;F43,1,0) + IF(G42&gt;G43,1,0))</f>
        <v>2</v>
      </c>
      <c r="E42" s="51">
        <v>15.0</v>
      </c>
      <c r="F42" s="51">
        <v>13.0</v>
      </c>
      <c r="G42" s="51">
        <v>15.0</v>
      </c>
      <c r="H42" s="51" t="s">
        <v>230</v>
      </c>
      <c r="I42" s="50" t="str">
        <f>M34</f>
        <v>#13, SZUDA / STÜRZ</v>
      </c>
      <c r="J42" s="52"/>
      <c r="K42" s="53"/>
      <c r="L42" s="47" t="str">
        <f>IF(D42="","Winner Pool D #3",IF(D42=2,C42,C43))</f>
        <v>#4, KREMSER / MASCHERBAUER</v>
      </c>
      <c r="M42" s="47" t="str">
        <f>IF(D42="","Loser Pool D #3",IF(D42&lt;2,C42,C43))</f>
        <v>#11, HEISZENBERGER / WAJDA</v>
      </c>
      <c r="N42" s="54">
        <f t="shared" ref="N42:Q42" si="41">D43</f>
        <v>1</v>
      </c>
      <c r="O42" s="54">
        <f t="shared" si="41"/>
        <v>9</v>
      </c>
      <c r="P42" s="54">
        <f t="shared" si="41"/>
        <v>15</v>
      </c>
      <c r="Q42" s="54">
        <f t="shared" si="41"/>
        <v>11</v>
      </c>
      <c r="R42" s="48"/>
      <c r="S42" s="48"/>
      <c r="T42" s="48"/>
      <c r="U42" s="48"/>
      <c r="V42" s="48"/>
      <c r="W42" s="48"/>
      <c r="X42" s="48"/>
      <c r="Y42" s="48"/>
      <c r="Z42" s="48"/>
    </row>
    <row r="43" ht="12.0" customHeight="1">
      <c r="A43" s="58"/>
      <c r="B43" s="58"/>
      <c r="C43" s="58" t="str">
        <f>L16</f>
        <v>#11, HEISZENBERGER / WAJDA</v>
      </c>
      <c r="D43" s="50">
        <f>IF(ISBLANK(E42),"",IF(E42&lt;E43,1,0) + IF(F42&lt;F43,1,0) + IF(G42&lt;G43,1,0))</f>
        <v>1</v>
      </c>
      <c r="E43" s="51">
        <v>9.0</v>
      </c>
      <c r="F43" s="51">
        <v>15.0</v>
      </c>
      <c r="G43" s="51">
        <v>11.0</v>
      </c>
      <c r="H43" s="51"/>
      <c r="I43" s="50"/>
      <c r="J43" s="53"/>
      <c r="K43" s="53"/>
      <c r="L43" s="48"/>
      <c r="M43" s="48"/>
      <c r="N43" s="54">
        <f t="shared" ref="N43:Q43" si="42">D42</f>
        <v>2</v>
      </c>
      <c r="O43" s="54">
        <f t="shared" si="42"/>
        <v>15</v>
      </c>
      <c r="P43" s="54">
        <f t="shared" si="42"/>
        <v>13</v>
      </c>
      <c r="Q43" s="54">
        <f t="shared" si="42"/>
        <v>15</v>
      </c>
      <c r="R43" s="48"/>
      <c r="S43" s="48"/>
      <c r="T43" s="48"/>
      <c r="U43" s="48"/>
      <c r="V43" s="48"/>
      <c r="W43" s="48"/>
      <c r="X43" s="48"/>
      <c r="Y43" s="48"/>
      <c r="Z43" s="48"/>
    </row>
    <row r="44" ht="12.0" customHeight="1">
      <c r="A44" s="58">
        <v>22.0</v>
      </c>
      <c r="B44" s="58" t="str">
        <f>Pools!D5</f>
        <v>Pool D</v>
      </c>
      <c r="C44" s="58" t="str">
        <f>M14</f>
        <v>#25, PRINZHORN / SALLMANNSHOFER</v>
      </c>
      <c r="D44" s="50">
        <f>IF(ISBLANK(E44),"",IF(E44&gt;E45,1,0) + IF(F44&gt;F45,1,0) + IF(G44&gt;G45,1,0))</f>
        <v>0</v>
      </c>
      <c r="E44" s="51">
        <v>4.0</v>
      </c>
      <c r="F44" s="51">
        <v>6.0</v>
      </c>
      <c r="G44" s="50"/>
      <c r="H44" s="51" t="s">
        <v>231</v>
      </c>
      <c r="I44" s="50" t="str">
        <f>M36</f>
        <v>#27, MACINKOVIC / WAGNER</v>
      </c>
      <c r="J44" s="52"/>
      <c r="K44" s="53"/>
      <c r="L44" s="47" t="str">
        <f>IF(D44="","Winner Pool D #4",IF(D44=2,C44,C45))</f>
        <v>#18, BEYER / SCHINAGL</v>
      </c>
      <c r="M44" s="47" t="str">
        <f>IF(D44="","Loser Pool D #4",IF(D44&lt;2,C44,C45))</f>
        <v>#25, PRINZHORN / SALLMANNSHOFER</v>
      </c>
      <c r="N44" s="54">
        <f t="shared" ref="N44:Q44" si="43">D45</f>
        <v>2</v>
      </c>
      <c r="O44" s="54">
        <f t="shared" si="43"/>
        <v>15</v>
      </c>
      <c r="P44" s="54">
        <f t="shared" si="43"/>
        <v>15</v>
      </c>
      <c r="Q44" s="54" t="str">
        <f t="shared" si="43"/>
        <v/>
      </c>
      <c r="R44" s="48"/>
      <c r="S44" s="48"/>
      <c r="T44" s="48"/>
      <c r="U44" s="48"/>
      <c r="V44" s="48"/>
      <c r="W44" s="48"/>
      <c r="X44" s="48"/>
      <c r="Y44" s="48"/>
      <c r="Z44" s="48"/>
    </row>
    <row r="45" ht="12.0" customHeight="1">
      <c r="A45" s="58"/>
      <c r="B45" s="58"/>
      <c r="C45" s="58" t="str">
        <f>M16</f>
        <v>#18, BEYER / SCHINAGL</v>
      </c>
      <c r="D45" s="50">
        <f>IF(ISBLANK(E44),"",IF(E44&lt;E45,1,0) + IF(F44&lt;F45,1,0) + IF(G44&lt;G45,1,0))</f>
        <v>2</v>
      </c>
      <c r="E45" s="51">
        <v>15.0</v>
      </c>
      <c r="F45" s="51">
        <v>15.0</v>
      </c>
      <c r="G45" s="50"/>
      <c r="H45" s="51"/>
      <c r="I45" s="50"/>
      <c r="J45" s="53"/>
      <c r="K45" s="53"/>
      <c r="L45" s="48"/>
      <c r="M45" s="48"/>
      <c r="N45" s="54">
        <f t="shared" ref="N45:Q45" si="44">D44</f>
        <v>0</v>
      </c>
      <c r="O45" s="54">
        <f t="shared" si="44"/>
        <v>4</v>
      </c>
      <c r="P45" s="54">
        <f t="shared" si="44"/>
        <v>6</v>
      </c>
      <c r="Q45" s="54" t="str">
        <f t="shared" si="44"/>
        <v/>
      </c>
      <c r="R45" s="48"/>
      <c r="S45" s="48"/>
      <c r="T45" s="48"/>
      <c r="U45" s="48"/>
      <c r="V45" s="48"/>
      <c r="W45" s="48"/>
      <c r="X45" s="48"/>
      <c r="Y45" s="48"/>
      <c r="Z45" s="48"/>
    </row>
    <row r="46" ht="12.0" customHeight="1">
      <c r="A46" s="59">
        <v>23.0</v>
      </c>
      <c r="B46" s="59" t="str">
        <f>Pools!E5</f>
        <v>Pool E</v>
      </c>
      <c r="C46" s="59" t="str">
        <f>L18</f>
        <v>#5, BISANZ / HAMMARBERG</v>
      </c>
      <c r="D46" s="50">
        <f>IF(ISBLANK(E46),"",IF(E46&gt;E47,1,0) + IF(F46&gt;F47,1,0) + IF(G46&gt;G47,1,0))</f>
        <v>2</v>
      </c>
      <c r="E46" s="51">
        <v>15.0</v>
      </c>
      <c r="F46" s="51">
        <v>15.0</v>
      </c>
      <c r="G46" s="50"/>
      <c r="H46" s="51" t="s">
        <v>232</v>
      </c>
      <c r="I46" s="50" t="str">
        <f>M38</f>
        <v>#17, PAUMANN / ANGERER</v>
      </c>
      <c r="J46" s="52"/>
      <c r="K46" s="53"/>
      <c r="L46" s="47" t="str">
        <f>IF(D46="","Winner Pool E #3",IF(D46=2,C46,C47))</f>
        <v>#5, BISANZ / HAMMARBERG</v>
      </c>
      <c r="M46" s="47" t="str">
        <f>IF(D46="","Loser Pool E #3",IF(D46&lt;2,C46,C47))</f>
        <v>#10, BOYD / STEGMÜLLER</v>
      </c>
      <c r="N46" s="54">
        <f t="shared" ref="N46:Q46" si="45">D47</f>
        <v>0</v>
      </c>
      <c r="O46" s="54">
        <f t="shared" si="45"/>
        <v>9</v>
      </c>
      <c r="P46" s="54">
        <f t="shared" si="45"/>
        <v>10</v>
      </c>
      <c r="Q46" s="54" t="str">
        <f t="shared" si="45"/>
        <v/>
      </c>
      <c r="R46" s="48"/>
      <c r="S46" s="48"/>
      <c r="T46" s="48"/>
      <c r="U46" s="48"/>
      <c r="V46" s="48"/>
      <c r="W46" s="48"/>
      <c r="X46" s="48"/>
      <c r="Y46" s="48"/>
      <c r="Z46" s="48"/>
    </row>
    <row r="47" ht="12.0" customHeight="1">
      <c r="A47" s="59"/>
      <c r="B47" s="59"/>
      <c r="C47" s="59" t="str">
        <f>L20</f>
        <v>#10, BOYD / STEGMÜLLER</v>
      </c>
      <c r="D47" s="50">
        <f>IF(ISBLANK(E46),"",IF(E46&lt;E47,1,0) + IF(F46&lt;F47,1,0) + IF(G46&lt;G47,1,0))</f>
        <v>0</v>
      </c>
      <c r="E47" s="51">
        <v>9.0</v>
      </c>
      <c r="F47" s="51">
        <v>10.0</v>
      </c>
      <c r="G47" s="50"/>
      <c r="H47" s="51"/>
      <c r="I47" s="50"/>
      <c r="J47" s="53"/>
      <c r="K47" s="53"/>
      <c r="L47" s="48"/>
      <c r="M47" s="48"/>
      <c r="N47" s="54">
        <f t="shared" ref="N47:Q47" si="46">D46</f>
        <v>2</v>
      </c>
      <c r="O47" s="54">
        <f t="shared" si="46"/>
        <v>15</v>
      </c>
      <c r="P47" s="54">
        <f t="shared" si="46"/>
        <v>15</v>
      </c>
      <c r="Q47" s="54" t="str">
        <f t="shared" si="46"/>
        <v/>
      </c>
      <c r="R47" s="48"/>
      <c r="S47" s="48"/>
      <c r="T47" s="48"/>
      <c r="U47" s="48"/>
      <c r="V47" s="48"/>
      <c r="W47" s="48"/>
      <c r="X47" s="48"/>
      <c r="Y47" s="48"/>
      <c r="Z47" s="48"/>
    </row>
    <row r="48" ht="12.0" customHeight="1">
      <c r="A48" s="59">
        <v>24.0</v>
      </c>
      <c r="B48" s="59" t="str">
        <f>Pools!E5</f>
        <v>Pool E</v>
      </c>
      <c r="C48" s="59" t="str">
        <f>M18</f>
        <v>#24, SCHENK / SCHWARZ</v>
      </c>
      <c r="D48" s="50">
        <f>IF(ISBLANK(E48),"",IF(E48&gt;E49,1,0) + IF(F48&gt;F49,1,0) + IF(G48&gt;G49,1,0))</f>
        <v>0</v>
      </c>
      <c r="E48" s="51">
        <v>13.0</v>
      </c>
      <c r="F48" s="51">
        <v>11.0</v>
      </c>
      <c r="G48" s="50"/>
      <c r="H48" s="51" t="s">
        <v>233</v>
      </c>
      <c r="I48" s="50" t="str">
        <f>M40</f>
        <v>#26, KAMIENIARZ / SAMS</v>
      </c>
      <c r="J48" s="52"/>
      <c r="K48" s="53"/>
      <c r="L48" s="47" t="str">
        <f>IF(D48="","Winner Pool E #4",IF(D48=2,C48,C49))</f>
        <v>#19, FERSTL-SCHMID / AIGNER</v>
      </c>
      <c r="M48" s="47" t="str">
        <f>IF(D48="","Loser Pool E #4",IF(D48&lt;2,C48,C49))</f>
        <v>#24, SCHENK / SCHWARZ</v>
      </c>
      <c r="N48" s="54">
        <f t="shared" ref="N48:Q48" si="47">D49</f>
        <v>2</v>
      </c>
      <c r="O48" s="54">
        <f t="shared" si="47"/>
        <v>15</v>
      </c>
      <c r="P48" s="54">
        <f t="shared" si="47"/>
        <v>15</v>
      </c>
      <c r="Q48" s="54" t="str">
        <f t="shared" si="47"/>
        <v/>
      </c>
      <c r="R48" s="48"/>
      <c r="S48" s="48"/>
      <c r="T48" s="48"/>
      <c r="U48" s="48"/>
      <c r="V48" s="48"/>
      <c r="W48" s="48"/>
      <c r="X48" s="48"/>
      <c r="Y48" s="48"/>
      <c r="Z48" s="48"/>
    </row>
    <row r="49" ht="12.0" customHeight="1">
      <c r="A49" s="59"/>
      <c r="B49" s="59"/>
      <c r="C49" s="59" t="str">
        <f>M20</f>
        <v>#19, FERSTL-SCHMID / AIGNER</v>
      </c>
      <c r="D49" s="50">
        <f>IF(ISBLANK(E48),"",IF(E48&lt;E49,1,0) + IF(F48&lt;F49,1,0) + IF(G48&lt;G49,1,0))</f>
        <v>2</v>
      </c>
      <c r="E49" s="51">
        <v>15.0</v>
      </c>
      <c r="F49" s="51">
        <v>15.0</v>
      </c>
      <c r="G49" s="50"/>
      <c r="H49" s="51"/>
      <c r="I49" s="50"/>
      <c r="J49" s="53"/>
      <c r="K49" s="53"/>
      <c r="L49" s="48"/>
      <c r="M49" s="48"/>
      <c r="N49" s="54">
        <f t="shared" ref="N49:Q49" si="48">D48</f>
        <v>0</v>
      </c>
      <c r="O49" s="54">
        <f t="shared" si="48"/>
        <v>13</v>
      </c>
      <c r="P49" s="54">
        <f t="shared" si="48"/>
        <v>11</v>
      </c>
      <c r="Q49" s="54" t="str">
        <f t="shared" si="48"/>
        <v/>
      </c>
      <c r="R49" s="48"/>
      <c r="S49" s="48"/>
      <c r="T49" s="48"/>
      <c r="U49" s="48"/>
      <c r="V49" s="48"/>
      <c r="W49" s="48"/>
      <c r="X49" s="48"/>
      <c r="Y49" s="48"/>
      <c r="Z49" s="48"/>
    </row>
    <row r="50" ht="12.0" customHeight="1">
      <c r="A50" s="60">
        <v>25.0</v>
      </c>
      <c r="B50" s="60" t="str">
        <f>Pools!F5</f>
        <v>Pool F</v>
      </c>
      <c r="C50" s="60" t="str">
        <f>L22</f>
        <v>#6, SCHLAX / WAGNER</v>
      </c>
      <c r="D50" s="50">
        <f>IF(ISBLANK(E50),"",IF(E50&gt;E51,1,0) + IF(F50&gt;F51,1,0) + IF(G50&gt;G51,1,0))</f>
        <v>2</v>
      </c>
      <c r="E50" s="51">
        <v>15.0</v>
      </c>
      <c r="F50" s="51">
        <v>15.0</v>
      </c>
      <c r="G50" s="50"/>
      <c r="H50" s="51" t="s">
        <v>230</v>
      </c>
      <c r="I50" s="50" t="str">
        <f>M42</f>
        <v>#11, HEISZENBERGER / WAJDA</v>
      </c>
      <c r="J50" s="52"/>
      <c r="K50" s="53"/>
      <c r="L50" s="47" t="str">
        <f>IF(D50="","Winner Pool F #3",IF(D50=2,C50,C51))</f>
        <v>#6, SCHLAX / WAGNER</v>
      </c>
      <c r="M50" s="47" t="str">
        <f>IF(D50="","Loser Pool F #3",IF(D50&lt;2,C50,C51))</f>
        <v>#20, HAYDN / DÜRNITZHOFER</v>
      </c>
      <c r="N50" s="54">
        <f t="shared" ref="N50:Q50" si="49">D51</f>
        <v>0</v>
      </c>
      <c r="O50" s="54">
        <f t="shared" si="49"/>
        <v>9</v>
      </c>
      <c r="P50" s="54">
        <f t="shared" si="49"/>
        <v>13</v>
      </c>
      <c r="Q50" s="54" t="str">
        <f t="shared" si="49"/>
        <v/>
      </c>
      <c r="R50" s="48"/>
      <c r="S50" s="48"/>
      <c r="T50" s="48"/>
      <c r="U50" s="48"/>
      <c r="V50" s="48"/>
      <c r="W50" s="48"/>
      <c r="X50" s="48"/>
      <c r="Y50" s="48"/>
      <c r="Z50" s="48"/>
    </row>
    <row r="51" ht="12.0" customHeight="1">
      <c r="A51" s="60"/>
      <c r="B51" s="60"/>
      <c r="C51" s="60" t="str">
        <f>L24</f>
        <v>#20, HAYDN / DÜRNITZHOFER</v>
      </c>
      <c r="D51" s="50">
        <f>IF(ISBLANK(E50),"",IF(E50&lt;E51,1,0) + IF(F50&lt;F51,1,0) + IF(G50&lt;G51,1,0))</f>
        <v>0</v>
      </c>
      <c r="E51" s="51">
        <v>9.0</v>
      </c>
      <c r="F51" s="51">
        <v>13.0</v>
      </c>
      <c r="G51" s="50"/>
      <c r="H51" s="51"/>
      <c r="I51" s="50"/>
      <c r="J51" s="53"/>
      <c r="K51" s="53"/>
      <c r="L51" s="48"/>
      <c r="M51" s="48"/>
      <c r="N51" s="54">
        <f t="shared" ref="N51:Q51" si="50">D50</f>
        <v>2</v>
      </c>
      <c r="O51" s="54">
        <f t="shared" si="50"/>
        <v>15</v>
      </c>
      <c r="P51" s="54">
        <f t="shared" si="50"/>
        <v>15</v>
      </c>
      <c r="Q51" s="54" t="str">
        <f t="shared" si="50"/>
        <v/>
      </c>
      <c r="R51" s="48"/>
      <c r="S51" s="48"/>
      <c r="T51" s="48"/>
      <c r="U51" s="48"/>
      <c r="V51" s="48"/>
      <c r="W51" s="48"/>
      <c r="X51" s="48"/>
      <c r="Y51" s="48"/>
      <c r="Z51" s="48"/>
    </row>
    <row r="52" ht="12.0" customHeight="1">
      <c r="A52" s="60">
        <v>26.0</v>
      </c>
      <c r="B52" s="60" t="str">
        <f>Pools!F5</f>
        <v>Pool F</v>
      </c>
      <c r="C52" s="60" t="str">
        <f>M22</f>
        <v>#23, GIFFINGER / FREY</v>
      </c>
      <c r="D52" s="50">
        <f>IF(ISBLANK(E52),"",IF(E52&gt;E53,1,0) + IF(F52&gt;F53,1,0) + IF(G52&gt;G53,1,0))</f>
        <v>0</v>
      </c>
      <c r="E52" s="51">
        <v>12.0</v>
      </c>
      <c r="F52" s="51">
        <v>14.0</v>
      </c>
      <c r="G52" s="50"/>
      <c r="H52" s="51" t="s">
        <v>231</v>
      </c>
      <c r="I52" s="50" t="str">
        <f>M44</f>
        <v>#25, PRINZHORN / SALLMANNSHOFER</v>
      </c>
      <c r="J52" s="52"/>
      <c r="K52" s="53"/>
      <c r="L52" s="47" t="str">
        <f>IF(D52="","Winner Pool F #4",IF(D52=2,C52,C53))</f>
        <v>#9, PARKANYI / FAVARETTO</v>
      </c>
      <c r="M52" s="47" t="str">
        <f>IF(D52="","Loser Pool F #4",IF(D52&lt;2,C52,C53))</f>
        <v>#23, GIFFINGER / FREY</v>
      </c>
      <c r="N52" s="54">
        <f t="shared" ref="N52:Q52" si="51">D53</f>
        <v>2</v>
      </c>
      <c r="O52" s="54">
        <f t="shared" si="51"/>
        <v>15</v>
      </c>
      <c r="P52" s="54">
        <f t="shared" si="51"/>
        <v>16</v>
      </c>
      <c r="Q52" s="54" t="str">
        <f t="shared" si="51"/>
        <v/>
      </c>
      <c r="R52" s="48"/>
      <c r="S52" s="48"/>
      <c r="T52" s="48"/>
      <c r="U52" s="48"/>
      <c r="V52" s="48"/>
      <c r="W52" s="48"/>
      <c r="X52" s="48"/>
      <c r="Y52" s="48"/>
      <c r="Z52" s="48"/>
    </row>
    <row r="53" ht="12.0" customHeight="1">
      <c r="A53" s="60"/>
      <c r="B53" s="60"/>
      <c r="C53" s="60" t="str">
        <f>M24</f>
        <v>#9, PARKANYI / FAVARETTO</v>
      </c>
      <c r="D53" s="50">
        <f>IF(ISBLANK(E52),"",IF(E52&lt;E53,1,0) + IF(F52&lt;F53,1,0) + IF(G52&lt;G53,1,0))</f>
        <v>2</v>
      </c>
      <c r="E53" s="51">
        <v>15.0</v>
      </c>
      <c r="F53" s="51">
        <v>16.0</v>
      </c>
      <c r="G53" s="50"/>
      <c r="H53" s="51"/>
      <c r="I53" s="50"/>
      <c r="J53" s="53"/>
      <c r="K53" s="53"/>
      <c r="L53" s="48"/>
      <c r="M53" s="48"/>
      <c r="N53" s="54">
        <f t="shared" ref="N53:Q53" si="52">D52</f>
        <v>0</v>
      </c>
      <c r="O53" s="54">
        <f t="shared" si="52"/>
        <v>12</v>
      </c>
      <c r="P53" s="54">
        <f t="shared" si="52"/>
        <v>14</v>
      </c>
      <c r="Q53" s="54" t="str">
        <f t="shared" si="52"/>
        <v/>
      </c>
      <c r="R53" s="48"/>
      <c r="S53" s="48"/>
      <c r="T53" s="48"/>
      <c r="U53" s="48"/>
      <c r="V53" s="48"/>
      <c r="W53" s="48"/>
      <c r="X53" s="48"/>
      <c r="Y53" s="48"/>
      <c r="Z53" s="48"/>
    </row>
    <row r="54" ht="12.0" customHeight="1">
      <c r="A54" s="61">
        <v>27.0</v>
      </c>
      <c r="B54" s="61" t="s">
        <v>216</v>
      </c>
      <c r="C54" s="61" t="str">
        <f>L26</f>
        <v>#7, HOCHREITER / WINDISCH</v>
      </c>
      <c r="D54" s="50">
        <f>IF(ISBLANK(E54),"",IF(E54&gt;E55,1,0) + IF(F54&gt;F55,1,0) + IF(G54&gt;G55,1,0))</f>
        <v>0</v>
      </c>
      <c r="E54" s="51">
        <v>12.0</v>
      </c>
      <c r="F54" s="51">
        <v>3.0</v>
      </c>
      <c r="G54" s="50"/>
      <c r="H54" s="51" t="s">
        <v>232</v>
      </c>
      <c r="I54" s="50" t="str">
        <f>M46</f>
        <v>#10, BOYD / STEGMÜLLER</v>
      </c>
      <c r="J54" s="52"/>
      <c r="K54" s="53"/>
      <c r="L54" s="47" t="str">
        <f>IF(D54="","Winner Pool G #3",IF(D54=2,C54,C55))</f>
        <v>#8, PANY / PALENCZAT</v>
      </c>
      <c r="M54" s="47" t="str">
        <f>IF(D54="","Loser Pool G #3",IF(D54&lt;2,C54,C55))</f>
        <v>#7, HOCHREITER / WINDISCH</v>
      </c>
      <c r="N54" s="54">
        <f t="shared" ref="N54:Q54" si="53">D55</f>
        <v>2</v>
      </c>
      <c r="O54" s="54">
        <f t="shared" si="53"/>
        <v>15</v>
      </c>
      <c r="P54" s="54">
        <f t="shared" si="53"/>
        <v>15</v>
      </c>
      <c r="Q54" s="54" t="str">
        <f t="shared" si="53"/>
        <v/>
      </c>
      <c r="R54" s="48"/>
      <c r="S54" s="48"/>
      <c r="T54" s="48"/>
      <c r="U54" s="48"/>
      <c r="V54" s="48"/>
      <c r="W54" s="48"/>
      <c r="X54" s="48"/>
      <c r="Y54" s="48"/>
      <c r="Z54" s="48"/>
    </row>
    <row r="55" ht="12.0" customHeight="1">
      <c r="A55" s="61"/>
      <c r="B55" s="61"/>
      <c r="C55" s="61" t="str">
        <f>L28</f>
        <v>#8, PANY / PALENCZAT</v>
      </c>
      <c r="D55" s="50">
        <f>IF(ISBLANK(E54),"",IF(E54&lt;E55,1,0) + IF(F54&lt;F55,1,0) + IF(G54&lt;G55,1,0))</f>
        <v>2</v>
      </c>
      <c r="E55" s="51">
        <v>15.0</v>
      </c>
      <c r="F55" s="51">
        <v>15.0</v>
      </c>
      <c r="G55" s="50"/>
      <c r="H55" s="51"/>
      <c r="I55" s="50"/>
      <c r="J55" s="53"/>
      <c r="K55" s="53"/>
      <c r="L55" s="48"/>
      <c r="M55" s="48"/>
      <c r="N55" s="54">
        <f t="shared" ref="N55:Q55" si="54">D54</f>
        <v>0</v>
      </c>
      <c r="O55" s="54">
        <f t="shared" si="54"/>
        <v>12</v>
      </c>
      <c r="P55" s="54">
        <f t="shared" si="54"/>
        <v>3</v>
      </c>
      <c r="Q55" s="54" t="str">
        <f t="shared" si="54"/>
        <v/>
      </c>
      <c r="R55" s="48"/>
      <c r="S55" s="48"/>
      <c r="T55" s="48"/>
      <c r="U55" s="48"/>
      <c r="V55" s="48"/>
      <c r="W55" s="48"/>
      <c r="X55" s="48"/>
      <c r="Y55" s="48"/>
      <c r="Z55" s="48"/>
    </row>
    <row r="56" ht="12.0" customHeight="1">
      <c r="A56" s="61">
        <v>28.0</v>
      </c>
      <c r="B56" s="61" t="s">
        <v>216</v>
      </c>
      <c r="C56" s="61" t="str">
        <f>M26</f>
        <v>#22, PICHLER / GRAF</v>
      </c>
      <c r="D56" s="50">
        <f>IF(ISBLANK(E56),"",IF(E56&gt;E57,1,0) + IF(F56&gt;F57,1,0) + IF(G56&gt;G57,1,0))</f>
        <v>2</v>
      </c>
      <c r="E56" s="51">
        <v>15.0</v>
      </c>
      <c r="F56" s="51">
        <v>15.0</v>
      </c>
      <c r="G56" s="50"/>
      <c r="H56" s="51" t="s">
        <v>231</v>
      </c>
      <c r="I56" s="50" t="str">
        <f>M52</f>
        <v>#23, GIFFINGER / FREY</v>
      </c>
      <c r="J56" s="52"/>
      <c r="K56" s="53"/>
      <c r="L56" s="47" t="str">
        <f>IF(D56="","Winner Pool G #4",IF(D56=2,C56,C57))</f>
        <v>#22, PICHLER / GRAF</v>
      </c>
      <c r="M56" s="47" t="str">
        <f>IF(D56="","Loser Pool G #4",IF(D56&lt;2,C56,C57))</f>
        <v>#21, MARK / WOLF</v>
      </c>
      <c r="N56" s="54">
        <f t="shared" ref="N56:Q56" si="55">D57</f>
        <v>0</v>
      </c>
      <c r="O56" s="54">
        <f t="shared" si="55"/>
        <v>6</v>
      </c>
      <c r="P56" s="54">
        <f t="shared" si="55"/>
        <v>5</v>
      </c>
      <c r="Q56" s="54" t="str">
        <f t="shared" si="55"/>
        <v/>
      </c>
      <c r="R56" s="48"/>
      <c r="S56" s="48"/>
      <c r="T56" s="48"/>
      <c r="U56" s="48"/>
      <c r="V56" s="48"/>
      <c r="W56" s="48"/>
      <c r="X56" s="48"/>
      <c r="Y56" s="48"/>
      <c r="Z56" s="48"/>
    </row>
    <row r="57" ht="12.0" customHeight="1">
      <c r="A57" s="61"/>
      <c r="B57" s="61"/>
      <c r="C57" s="61" t="str">
        <f>M28</f>
        <v>#21, MARK / WOLF</v>
      </c>
      <c r="D57" s="50">
        <f>IF(ISBLANK(E56),"",IF(E56&lt;E57,1,0) + IF(F56&lt;F57,1,0) + IF(G56&lt;G57,1,0))</f>
        <v>0</v>
      </c>
      <c r="E57" s="51">
        <v>6.0</v>
      </c>
      <c r="F57" s="51">
        <v>5.0</v>
      </c>
      <c r="G57" s="50"/>
      <c r="H57" s="51"/>
      <c r="I57" s="50"/>
      <c r="J57" s="53"/>
      <c r="K57" s="53"/>
      <c r="L57" s="48"/>
      <c r="M57" s="48"/>
      <c r="N57" s="54">
        <f t="shared" ref="N57:Q57" si="56">D56</f>
        <v>2</v>
      </c>
      <c r="O57" s="54">
        <f t="shared" si="56"/>
        <v>15</v>
      </c>
      <c r="P57" s="54">
        <f t="shared" si="56"/>
        <v>15</v>
      </c>
      <c r="Q57" s="54" t="str">
        <f t="shared" si="56"/>
        <v/>
      </c>
      <c r="R57" s="48"/>
      <c r="S57" s="48"/>
      <c r="T57" s="48"/>
      <c r="U57" s="48"/>
      <c r="V57" s="48"/>
      <c r="W57" s="48"/>
      <c r="X57" s="48"/>
      <c r="Y57" s="48"/>
      <c r="Z57" s="48"/>
    </row>
    <row r="58" ht="12.0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ht="12.0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ht="12.0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2.0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ht="12.0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ht="12.0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ht="12.0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ht="12.0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ht="12.0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ht="12.0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ht="12.0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ht="12.0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ht="12.0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ht="12.0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ht="12.0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ht="12.0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ht="12.0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ht="12.0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ht="12.0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ht="12.0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ht="12.0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ht="12.0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ht="12.0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ht="12.0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ht="12.0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ht="12.0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ht="12.0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ht="12.0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ht="12.0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ht="12.0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ht="12.0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ht="12.0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ht="12.0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ht="12.0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ht="12.0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ht="12.0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ht="12.0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ht="12.0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ht="12.0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ht="12.0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ht="12.0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ht="12.0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ht="12.0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ht="12.0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ht="12.0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ht="12.0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ht="12.0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ht="12.0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ht="12.0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ht="12.0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ht="12.0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ht="12.0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ht="12.0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ht="12.0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ht="12.0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ht="12.0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ht="12.0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ht="12.0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ht="12.0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ht="12.0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ht="12.0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ht="12.0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ht="12.0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ht="12.0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ht="12.0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ht="12.0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2.0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ht="12.0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ht="12.0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ht="12.0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ht="12.0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ht="12.0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ht="12.0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ht="12.0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ht="12.0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ht="12.0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ht="12.0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ht="12.0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ht="12.0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ht="12.0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ht="12.0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ht="12.0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ht="12.0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ht="12.0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ht="12.0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ht="12.0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ht="12.0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ht="12.0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ht="12.0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ht="12.0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ht="12.0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ht="12.0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ht="12.0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ht="12.0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ht="12.0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ht="12.0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ht="12.0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ht="12.0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ht="12.0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ht="12.0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ht="12.0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ht="12.0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ht="12.0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ht="12.0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ht="12.0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ht="12.0" customHeight="1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ht="12.0" customHeight="1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ht="12.0" customHeight="1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ht="12.0" customHeight="1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ht="12.0" customHeigh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ht="12.0" customHeigh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ht="12.0" customHeigh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ht="12.0" customHeigh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ht="12.0" customHeight="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ht="12.0" customHeight="1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ht="12.0" customHeight="1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ht="12.0" customHeight="1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ht="12.0" customHeight="1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ht="12.0" customHeight="1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ht="12.0" customHeight="1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ht="12.0" customHeigh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ht="12.0" customHeigh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ht="12.0" customHeigh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ht="12.0" customHeigh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ht="12.0" customHeigh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ht="12.0" customHeigh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ht="12.0" customHeigh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ht="12.0" customHeigh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ht="12.0" customHeigh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ht="12.0" customHeigh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ht="12.0" customHeigh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ht="12.0" customHeight="1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ht="12.0" customHeight="1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ht="12.0" customHeigh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ht="12.0" customHeigh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ht="12.0" customHeigh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ht="12.0" customHeigh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ht="12.0" customHeight="1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ht="12.0" customHeight="1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ht="12.0" customHeight="1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ht="12.0" customHeight="1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ht="12.0" customHeight="1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ht="12.0" customHeight="1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ht="12.0" customHeight="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ht="12.0" customHeight="1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ht="12.0" customHeight="1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ht="12.0" customHeight="1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ht="12.0" customHeight="1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ht="12.0" customHeigh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ht="12.0" customHeigh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ht="12.0" customHeigh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ht="12.0" customHeigh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ht="12.0" customHeigh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ht="12.0" customHeigh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ht="12.0" customHeigh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ht="12.0" customHeigh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ht="12.0" customHeigh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ht="12.0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ht="12.0" customHeigh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ht="12.0" customHeigh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ht="12.0" customHeigh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ht="12.0" customHeight="1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ht="12.0" customHeight="1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ht="12.0" customHeigh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ht="12.0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ht="12.0" customHeigh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ht="12.0" customHeigh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ht="12.0" customHeigh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ht="12.0" customHeigh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ht="12.0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ht="12.0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ht="12.0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ht="12.0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ht="12.0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ht="12.0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ht="12.0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ht="12.0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ht="12.0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ht="12.0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ht="12.0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ht="12.0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ht="12.0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ht="12.0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ht="12.0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ht="12.0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ht="12.0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ht="12.0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ht="12.0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ht="12.0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ht="12.0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ht="12.0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ht="12.0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ht="12.0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ht="12.0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ht="12.0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ht="12.0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ht="12.0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ht="12.0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ht="12.0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ht="12.0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ht="12.0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ht="12.0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ht="12.0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ht="12.0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ht="12.0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ht="12.0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ht="12.0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ht="12.0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ht="12.0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ht="12.0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ht="12.0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ht="12.0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ht="12.0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ht="12.0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ht="12.0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ht="12.0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ht="12.0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ht="12.0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ht="12.0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ht="12.0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ht="12.0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ht="12.0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ht="12.0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ht="12.0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ht="12.0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ht="12.0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ht="12.0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ht="12.0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ht="12.0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ht="12.0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ht="12.0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ht="12.0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ht="12.0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ht="12.0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ht="12.0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ht="12.0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ht="12.0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ht="12.0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ht="12.0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ht="12.0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ht="12.0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ht="12.0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ht="12.0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ht="12.0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ht="12.0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ht="12.0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ht="12.0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ht="12.0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ht="12.0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ht="12.0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ht="12.0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ht="12.0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ht="12.0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ht="12.0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ht="12.0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ht="12.0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ht="12.0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ht="12.0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ht="12.0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ht="12.0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ht="12.0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ht="12.0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ht="12.0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ht="12.0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ht="12.0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ht="12.0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ht="12.0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ht="12.0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ht="12.0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ht="12.0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ht="12.0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ht="12.0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ht="12.0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ht="12.0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ht="12.0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ht="12.0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ht="12.0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ht="12.0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ht="12.0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ht="12.0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ht="12.0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ht="12.0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ht="12.0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ht="12.0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ht="12.0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ht="12.0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ht="12.0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ht="12.0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ht="12.0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ht="12.0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ht="12.0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ht="12.0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ht="12.0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ht="12.0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ht="12.0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ht="12.0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ht="12.0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ht="12.0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ht="12.0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ht="12.0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ht="12.0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ht="12.0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ht="12.0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ht="12.0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ht="12.0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ht="12.0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ht="12.0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ht="12.0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ht="12.0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ht="12.0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ht="12.0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ht="12.0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ht="12.0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ht="12.0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ht="12.0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ht="12.0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ht="12.0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ht="12.0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ht="12.0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ht="12.0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ht="12.0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ht="12.0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ht="12.0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ht="12.0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ht="12.0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ht="12.0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ht="12.0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ht="12.0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ht="12.0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ht="12.0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ht="12.0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ht="12.0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ht="12.0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ht="12.0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ht="12.0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ht="12.0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ht="12.0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ht="12.0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ht="12.0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ht="12.0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ht="12.0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ht="12.0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ht="12.0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ht="12.0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ht="12.0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ht="12.0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ht="12.0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ht="12.0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ht="12.0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ht="12.0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ht="12.0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ht="12.0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ht="12.0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ht="12.0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ht="12.0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ht="12.0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ht="12.0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ht="12.0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ht="12.0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ht="12.0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ht="12.0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ht="12.0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ht="12.0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ht="12.0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ht="12.0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ht="12.0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ht="12.0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ht="12.0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ht="12.0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ht="12.0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ht="12.0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ht="12.0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ht="12.0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ht="12.0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ht="12.0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ht="12.0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ht="12.0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ht="12.0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ht="12.0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ht="12.0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ht="12.0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ht="12.0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ht="12.0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ht="12.0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ht="12.0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ht="12.0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ht="12.0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ht="12.0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ht="12.0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ht="12.0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ht="12.0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ht="12.0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ht="12.0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ht="12.0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ht="12.0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ht="12.0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ht="12.0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ht="12.0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ht="12.0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ht="12.0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ht="12.0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ht="12.0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ht="12.0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ht="12.0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ht="12.0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ht="12.0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ht="12.0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ht="12.0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ht="12.0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ht="12.0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ht="12.0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ht="12.0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ht="12.0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ht="12.0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ht="12.0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ht="12.0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ht="12.0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ht="12.0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ht="12.0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ht="12.0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ht="12.0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ht="12.0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ht="12.0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ht="12.0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ht="12.0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ht="12.0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ht="12.0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ht="12.0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ht="12.0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ht="12.0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ht="12.0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ht="12.0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ht="12.0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ht="12.0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ht="12.0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ht="12.0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ht="12.0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ht="12.0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ht="12.0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ht="12.0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ht="12.0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ht="12.0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ht="12.0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ht="12.0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ht="12.0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ht="12.0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ht="12.0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ht="12.0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ht="12.0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ht="12.0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ht="12.0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ht="12.0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ht="12.0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ht="12.0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ht="12.0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ht="12.0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ht="12.0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ht="12.0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ht="12.0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ht="12.0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ht="12.0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ht="12.0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ht="12.0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ht="12.0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ht="12.0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ht="12.0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ht="12.0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ht="12.0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ht="12.0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ht="12.0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ht="12.0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ht="12.0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ht="12.0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ht="12.0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ht="12.0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ht="12.0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ht="12.0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ht="12.0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ht="12.0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ht="12.0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ht="12.0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ht="12.0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ht="12.0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ht="12.0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ht="12.0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ht="12.0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ht="12.0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ht="12.0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ht="12.0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ht="12.0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ht="12.0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ht="12.0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ht="12.0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ht="12.0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ht="12.0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ht="12.0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ht="12.0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ht="12.0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ht="12.0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ht="12.0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ht="12.0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ht="12.0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ht="12.0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ht="12.0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ht="12.0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ht="12.0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ht="12.0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ht="12.0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ht="12.0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ht="12.0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ht="12.0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ht="12.0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ht="12.0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ht="12.0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ht="12.0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ht="12.0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ht="12.0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ht="12.0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ht="12.0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ht="12.0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ht="12.0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ht="12.0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ht="12.0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ht="12.0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ht="12.0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ht="12.0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ht="12.0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ht="12.0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ht="12.0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ht="12.0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ht="12.0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ht="12.0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ht="12.0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ht="12.0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ht="12.0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ht="12.0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ht="12.0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ht="12.0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ht="12.0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ht="12.0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ht="12.0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ht="12.0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ht="12.0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ht="12.0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ht="12.0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ht="12.0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ht="12.0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ht="12.0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ht="12.0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ht="12.0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ht="12.0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ht="12.0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ht="12.0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ht="12.0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ht="12.0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ht="12.0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ht="12.0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ht="12.0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ht="12.0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ht="12.0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ht="12.0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ht="12.0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ht="12.0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ht="12.0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ht="12.0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ht="12.0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ht="12.0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ht="12.0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ht="12.0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ht="12.0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ht="12.0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ht="12.0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ht="12.0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ht="12.0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ht="12.0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ht="12.0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ht="12.0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ht="12.0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ht="12.0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ht="12.0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ht="12.0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ht="12.0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ht="12.0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ht="12.0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ht="12.0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ht="12.0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ht="12.0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ht="12.0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ht="12.0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ht="12.0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ht="12.0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ht="12.0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ht="12.0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ht="12.0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ht="12.0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ht="12.0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ht="12.0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ht="12.0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ht="12.0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ht="12.0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ht="12.0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ht="12.0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ht="12.0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ht="12.0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ht="12.0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ht="12.0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ht="12.0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ht="12.0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ht="12.0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ht="12.0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ht="12.0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ht="12.0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ht="12.0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ht="12.0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ht="12.0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ht="12.0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ht="12.0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ht="12.0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ht="12.0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ht="12.0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ht="12.0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ht="12.0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ht="12.0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ht="12.0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ht="12.0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ht="12.0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ht="12.0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ht="12.0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ht="12.0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ht="12.0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ht="12.0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ht="12.0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ht="12.0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ht="12.0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ht="12.0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ht="12.0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ht="12.0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ht="12.0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ht="12.0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ht="12.0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ht="12.0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ht="12.0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ht="12.0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ht="12.0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ht="12.0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ht="12.0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ht="12.0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ht="12.0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ht="12.0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ht="12.0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ht="12.0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ht="12.0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ht="12.0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ht="12.0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ht="12.0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ht="12.0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ht="12.0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ht="12.0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ht="12.0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ht="12.0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ht="12.0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ht="12.0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ht="12.0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ht="12.0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ht="12.0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ht="12.0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ht="12.0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ht="12.0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ht="12.0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ht="12.0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ht="12.0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ht="12.0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ht="12.0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ht="12.0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ht="12.0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ht="12.0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ht="12.0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ht="12.0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ht="12.0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ht="12.0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ht="12.0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ht="12.0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ht="12.0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ht="12.0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ht="12.0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ht="12.0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ht="12.0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ht="12.0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ht="12.0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ht="12.0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ht="12.0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ht="12.0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ht="12.0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ht="12.0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ht="12.0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ht="12.0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ht="12.0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ht="12.0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ht="12.0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ht="12.0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ht="12.0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ht="12.0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ht="12.0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ht="12.0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ht="12.0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ht="12.0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ht="12.0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ht="12.0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ht="12.0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ht="12.0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ht="12.0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ht="12.0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ht="12.0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ht="12.0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ht="12.0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ht="12.0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ht="12.0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ht="12.0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ht="12.0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ht="12.0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ht="12.0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ht="12.0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ht="12.0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ht="12.0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ht="12.0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ht="12.0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ht="12.0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ht="12.0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ht="12.0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ht="12.0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ht="12.0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ht="12.0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ht="12.0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ht="12.0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ht="12.0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ht="12.0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ht="12.0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ht="12.0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ht="12.0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ht="12.0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ht="12.0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ht="12.0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ht="12.0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ht="12.0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ht="12.0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ht="12.0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ht="12.0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ht="12.0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ht="12.0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ht="12.0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ht="12.0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ht="12.0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ht="12.0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ht="12.0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ht="12.0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ht="12.0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ht="12.0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ht="12.0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ht="12.0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ht="12.0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ht="12.0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ht="12.0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ht="12.0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ht="12.0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ht="12.0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ht="12.0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ht="12.0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ht="12.0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ht="12.0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ht="12.0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ht="12.0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ht="12.0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ht="12.0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ht="12.0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ht="12.0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ht="12.0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ht="12.0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ht="12.0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ht="12.0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ht="12.0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ht="12.0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ht="12.0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ht="12.0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ht="12.0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ht="12.0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ht="12.0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ht="12.0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ht="12.0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ht="12.0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ht="12.0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ht="12.0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ht="12.0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ht="12.0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ht="12.0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ht="12.0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ht="12.0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ht="12.0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ht="12.0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ht="12.0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ht="12.0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ht="12.0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ht="12.0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ht="12.0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ht="12.0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ht="12.0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ht="12.0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ht="12.0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ht="12.0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ht="12.0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ht="12.0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ht="12.0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ht="12.0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ht="12.0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ht="12.0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ht="12.0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ht="12.0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ht="12.0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ht="12.0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ht="12.0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ht="12.0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ht="12.0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ht="12.0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ht="12.0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ht="12.0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ht="12.0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ht="12.0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ht="12.0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ht="12.0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ht="12.0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ht="12.0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ht="12.0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ht="12.0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ht="12.0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ht="12.0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ht="12.0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ht="12.0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ht="12.0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ht="12.0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ht="12.0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ht="12.0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ht="12.0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ht="12.0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ht="12.0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ht="12.0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ht="12.0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ht="12.0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ht="12.0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ht="12.0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ht="12.0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ht="12.0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ht="12.0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ht="12.0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ht="12.0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ht="12.0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ht="12.0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ht="12.0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ht="12.0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ht="12.0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ht="12.0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ht="12.0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ht="12.0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ht="12.0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ht="12.0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ht="12.0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ht="12.0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ht="12.0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ht="12.0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ht="12.0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ht="12.0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ht="12.0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ht="12.0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ht="12.0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ht="12.0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ht="12.0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ht="12.0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ht="12.0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ht="12.0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ht="12.0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ht="12.0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ht="12.0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ht="12.0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ht="12.0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ht="12.0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ht="12.0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ht="12.0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ht="12.0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ht="12.0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ht="12.0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ht="12.0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ht="12.0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ht="12.0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ht="12.0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ht="12.0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ht="12.0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ht="12.0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ht="12.0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ht="12.0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ht="12.0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ht="12.0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ht="12.0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ht="12.0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ht="12.0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ht="12.0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ht="12.0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ht="12.0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ht="12.0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ht="12.0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ht="12.0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ht="12.0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ht="12.0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ht="12.0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ht="12.0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ht="12.0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ht="12.0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ht="12.0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ht="12.0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ht="12.0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ht="12.0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ht="12.0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ht="12.0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ht="12.0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ht="12.0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ht="12.0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ht="12.0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ht="12.0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ht="12.0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ht="12.0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ht="12.0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ht="12.0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ht="12.0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ht="12.0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ht="12.0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ht="12.0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ht="12.0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ht="12.0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ht="12.0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ht="12.0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ht="12.0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ht="12.0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ht="12.0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ht="12.0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ht="12.0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ht="12.0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0"/>
    <col customWidth="1" min="2" max="2" width="4.14"/>
    <col customWidth="1" min="3" max="3" width="38.71"/>
    <col customWidth="1" min="4" max="4" width="11.29"/>
    <col customWidth="1" min="5" max="5" width="10.71"/>
    <col customWidth="1" min="7" max="7" width="12.0"/>
    <col customWidth="1" min="8" max="8" width="9.0"/>
    <col customWidth="1" min="9" max="9" width="8.43"/>
    <col customWidth="1" min="10" max="10" width="9.29"/>
    <col customWidth="1" min="11" max="11" width="10.86"/>
    <col customWidth="1" min="12" max="12" width="10.29"/>
    <col customWidth="1" min="13" max="13" width="11.14"/>
    <col customWidth="1" min="14" max="26" width="10.71"/>
  </cols>
  <sheetData>
    <row r="1">
      <c r="A1" s="62" t="s">
        <v>218</v>
      </c>
      <c r="B1" s="62" t="s">
        <v>234</v>
      </c>
      <c r="C1" s="62" t="s">
        <v>201</v>
      </c>
      <c r="D1" s="62" t="s">
        <v>235</v>
      </c>
      <c r="E1" s="62" t="s">
        <v>236</v>
      </c>
      <c r="F1" s="63"/>
      <c r="G1" s="63"/>
      <c r="H1" s="62" t="s">
        <v>237</v>
      </c>
      <c r="I1" s="62" t="s">
        <v>238</v>
      </c>
      <c r="J1" s="62" t="s">
        <v>239</v>
      </c>
      <c r="K1" s="62" t="s">
        <v>240</v>
      </c>
      <c r="L1" s="62" t="s">
        <v>241</v>
      </c>
      <c r="M1" s="62" t="s">
        <v>242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>
      <c r="A2" s="64" t="s">
        <v>243</v>
      </c>
      <c r="B2" s="64">
        <v>1.0</v>
      </c>
      <c r="C2" s="64" t="str">
        <f>IF(PoolMatches!D30="",PoolMatches!L2,PoolMatches!L30)</f>
        <v>#1, BAUER / HASELSTEINER</v>
      </c>
      <c r="D2" s="64">
        <f>IF(PoolMatches!L30="",IF(PoolMatches!L2=C2,1,IF(PoolMatches!L4=PoolStandings!C2,1,0)),2)</f>
        <v>2</v>
      </c>
      <c r="E2" s="64">
        <v>0.0</v>
      </c>
      <c r="F2" s="64"/>
      <c r="G2" s="64"/>
      <c r="H2" s="64">
        <f>SUMIFS(PoolMatches!$D$2:$D$45,PoolMatches!$C$2:$C$45,PoolStandings!C2)</f>
        <v>4</v>
      </c>
      <c r="I2" s="64">
        <f>SUMIFS(PoolMatches!$N$2:$N$45,PoolMatches!$C$2:$C$45,PoolStandings!C2)</f>
        <v>0</v>
      </c>
      <c r="J2" s="65" t="str">
        <f t="shared" ref="J2:J29" si="1">IF(I2=0,"MAX",(H2/I2))</f>
        <v>MAX</v>
      </c>
      <c r="K2" s="64">
        <f>SUMIFS(PoolMatches!$E$2:$E$45,PoolMatches!$C$2:$C$45,PoolStandings!C2)+SUMIFS(PoolMatches!$F$2:$F$45,PoolMatches!$C$2:$C$45,PoolStandings!C2)+SUMIFS(PoolMatches!$G$2:$G$45,PoolMatches!$C$2:$C$45,PoolStandings!C2)</f>
        <v>61</v>
      </c>
      <c r="L2" s="66">
        <f>SUMIFS(PoolMatches!$O$2:$O$29,PoolMatches!$C$2:$C$29,PoolStandings!C2)+SUMIFS(PoolMatches!$P$2:$P$29,PoolMatches!$C$2:$C$29,PoolStandings!C2)+SUMIFS(PoolMatches!$Q$2:$Q$29,PoolMatches!$C$2:$C$29,PoolStandings!C2)</f>
        <v>6</v>
      </c>
      <c r="M2" s="65">
        <f t="shared" ref="M2:M29" si="2">IF(L2=0,"MAX",(K2/L2))</f>
        <v>10.16666667</v>
      </c>
      <c r="N2" s="63"/>
      <c r="O2" s="67" t="s">
        <v>209</v>
      </c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>
      <c r="A3" s="64" t="s">
        <v>243</v>
      </c>
      <c r="B3" s="64">
        <v>2.0</v>
      </c>
      <c r="C3" s="64" t="str">
        <f>IF(PoolMatches!D30="",PoolMatches!M2,PoolMatches!M30)</f>
        <v>#15, MATĚJKOVÁ / SANCHEZ</v>
      </c>
      <c r="D3" s="64">
        <f>IF(PoolMatches!L2=PoolStandings!C3,1,IF(PoolMatches!L4=PoolStandings!C3,1,0))</f>
        <v>1</v>
      </c>
      <c r="E3" s="64">
        <f>IF(PoolMatches!M30="",0,1)</f>
        <v>1</v>
      </c>
      <c r="F3" s="64"/>
      <c r="G3" s="64"/>
      <c r="H3" s="64">
        <f>SUMIFS(PoolMatches!$D$2:$D$45,PoolMatches!$C$2:$C$45,PoolStandings!C3)</f>
        <v>2</v>
      </c>
      <c r="I3" s="64">
        <f>SUMIFS(PoolMatches!$N$2:$N$45,PoolMatches!$C$2:$C$45,PoolStandings!C3)</f>
        <v>2</v>
      </c>
      <c r="J3" s="65">
        <f t="shared" si="1"/>
        <v>1</v>
      </c>
      <c r="K3" s="64">
        <f>SUMIFS(PoolMatches!$E$2:$E$45,PoolMatches!$C$2:$C$45,PoolStandings!C3)+SUMIFS(PoolMatches!$F$2:$F$45,PoolMatches!$C$2:$C$45,PoolStandings!C3)+SUMIFS(PoolMatches!$G$2:$G$45,PoolMatches!$C$2:$C$45,PoolStandings!C3)</f>
        <v>54</v>
      </c>
      <c r="L3" s="64">
        <f>SUMIFS(PoolMatches!$O$2:$O$29,PoolMatches!$C$2:$C$29,PoolStandings!C3)+SUMIFS(PoolMatches!$P$2:$P$29,PoolMatches!$C$2:$C$29,PoolStandings!C3)+SUMIFS(PoolMatches!$Q$2:$Q$29,PoolMatches!$C$2:$C$29,PoolStandings!C3)</f>
        <v>20</v>
      </c>
      <c r="M3" s="65">
        <f t="shared" si="2"/>
        <v>2.7</v>
      </c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>
      <c r="A4" s="64" t="s">
        <v>243</v>
      </c>
      <c r="B4" s="64">
        <v>3.0</v>
      </c>
      <c r="C4" s="64" t="str">
        <f>IF(PoolMatches!D32="",PoolMatches!L4,PoolMatches!L32)</f>
        <v>#14, TRIBELNIG / WEINDL</v>
      </c>
      <c r="D4" s="64">
        <f>IF(PoolMatches!L32="",0,1)</f>
        <v>1</v>
      </c>
      <c r="E4" s="64">
        <f>IF(PoolMatches!M2=C4,1,IF(PoolMatches!M4=C4,1,0))</f>
        <v>1</v>
      </c>
      <c r="F4" s="64"/>
      <c r="G4" s="64"/>
      <c r="H4" s="64">
        <f>SUMIFS(PoolMatches!$D$2:$D$45,PoolMatches!$C$2:$C$45,PoolStandings!C4)</f>
        <v>2</v>
      </c>
      <c r="I4" s="64">
        <f>SUMIFS(PoolMatches!$N$2:$N$45,PoolMatches!$C$2:$C$45,PoolStandings!C4)</f>
        <v>2</v>
      </c>
      <c r="J4" s="65">
        <f t="shared" si="1"/>
        <v>1</v>
      </c>
      <c r="K4" s="64">
        <f>SUMIFS(PoolMatches!$E$2:$E$45,PoolMatches!$C$2:$C$45,PoolStandings!C4)+SUMIFS(PoolMatches!$F$2:$F$45,PoolMatches!$C$2:$C$45,PoolStandings!C4)+SUMIFS(PoolMatches!$G$2:$G$45,PoolMatches!$C$2:$C$45,PoolStandings!C4)</f>
        <v>50</v>
      </c>
      <c r="L4" s="64">
        <f>SUMIFS(PoolMatches!$O$2:$O$29,PoolMatches!$C$2:$C$29,PoolStandings!C4)+SUMIFS(PoolMatches!$P$2:$P$29,PoolMatches!$C$2:$C$29,PoolStandings!C4)+SUMIFS(PoolMatches!$Q$2:$Q$29,PoolMatches!$C$2:$C$29,PoolStandings!C4)</f>
        <v>30</v>
      </c>
      <c r="M4" s="65">
        <f t="shared" si="2"/>
        <v>1.666666667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>
      <c r="A5" s="64" t="s">
        <v>243</v>
      </c>
      <c r="B5" s="64">
        <v>4.0</v>
      </c>
      <c r="C5" s="64" t="str">
        <f>IF(PoolMatches!D32="",PoolMatches!M4,PoolMatches!M32)</f>
        <v>#28, SCHUSTER / MASSIN</v>
      </c>
      <c r="D5" s="64">
        <v>0.0</v>
      </c>
      <c r="E5" s="64">
        <f>IF(PoolMatches!M32="",IF(PoolMatches!M2=C5,1,IF(PoolMatches!M4=C5,1,0)),2)</f>
        <v>2</v>
      </c>
      <c r="F5" s="64"/>
      <c r="G5" s="64"/>
      <c r="H5" s="64">
        <f>SUMIFS(PoolMatches!$D$2:$D$45,PoolMatches!$C$2:$C$45,PoolStandings!C5)</f>
        <v>0</v>
      </c>
      <c r="I5" s="64">
        <f>SUMIFS(PoolMatches!$N$2:$N$45,PoolMatches!$C$2:$C$45,PoolStandings!C5)</f>
        <v>4</v>
      </c>
      <c r="J5" s="65">
        <f t="shared" si="1"/>
        <v>0</v>
      </c>
      <c r="K5" s="64">
        <f>SUMIFS(PoolMatches!$E$2:$E$45,PoolMatches!$C$2:$C$45,PoolStandings!C5)+SUMIFS(PoolMatches!$F$2:$F$45,PoolMatches!$C$2:$C$45,PoolStandings!C5)+SUMIFS(PoolMatches!$G$2:$G$45,PoolMatches!$C$2:$C$45,PoolStandings!C5)</f>
        <v>14</v>
      </c>
      <c r="L5" s="64">
        <f>SUMIFS(PoolMatches!$O$2:$O$29,PoolMatches!$C$2:$C$29,PoolStandings!C5)+SUMIFS(PoolMatches!$P$2:$P$29,PoolMatches!$C$2:$C$29,PoolStandings!C5)+SUMIFS(PoolMatches!$Q$2:$Q$29,PoolMatches!$C$2:$C$29,PoolStandings!C5)</f>
        <v>30</v>
      </c>
      <c r="M5" s="65">
        <f t="shared" si="2"/>
        <v>0.4666666667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>
      <c r="A6" s="68" t="s">
        <v>244</v>
      </c>
      <c r="B6" s="68">
        <v>1.0</v>
      </c>
      <c r="C6" s="68" t="str">
        <f>IF(PoolMatches!D34="",PoolMatches!L6,PoolMatches!L34)</f>
        <v>#2, ELSNER / PFAU</v>
      </c>
      <c r="D6" s="68">
        <f>IF(PoolMatches!L34="",IF(PoolMatches!L6=C6,1,IF(PoolMatches!L8=PoolStandings!C6,1,0)),2)</f>
        <v>2</v>
      </c>
      <c r="E6" s="68">
        <v>0.0</v>
      </c>
      <c r="F6" s="68"/>
      <c r="G6" s="68"/>
      <c r="H6" s="68">
        <f>SUMIFS(PoolMatches!$D$2:$D$45,PoolMatches!$C$2:$C$45,PoolStandings!C6)</f>
        <v>4</v>
      </c>
      <c r="I6" s="68">
        <f>SUMIFS(PoolMatches!$N$2:$N$45,PoolMatches!$C$2:$C$45,PoolStandings!C6)</f>
        <v>0</v>
      </c>
      <c r="J6" s="69" t="str">
        <f t="shared" si="1"/>
        <v>MAX</v>
      </c>
      <c r="K6" s="68">
        <f>SUMIFS(PoolMatches!$E$2:$E$45,PoolMatches!$C$2:$C$45,PoolStandings!C6)+SUMIFS(PoolMatches!$F$2:$F$45,PoolMatches!$C$2:$C$45,PoolStandings!C6)+SUMIFS(PoolMatches!$G$2:$G$45,PoolMatches!$C$2:$C$45,PoolStandings!C6)</f>
        <v>60</v>
      </c>
      <c r="L6" s="68">
        <f>SUMIFS(PoolMatches!$O$2:$O$29,PoolMatches!$C$2:$C$29,PoolStandings!C6)+SUMIFS(PoolMatches!$P$2:$P$29,PoolMatches!$C$2:$C$29,PoolStandings!C6)+SUMIFS(PoolMatches!$Q$2:$Q$29,PoolMatches!$C$2:$C$29,PoolStandings!C6)</f>
        <v>8</v>
      </c>
      <c r="M6" s="69">
        <f t="shared" si="2"/>
        <v>7.5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>
      <c r="A7" s="68" t="s">
        <v>244</v>
      </c>
      <c r="B7" s="68">
        <v>2.0</v>
      </c>
      <c r="C7" s="68" t="str">
        <f>IF(PoolMatches!D34="",PoolMatches!M6,PoolMatches!M34)</f>
        <v>#13, SZUDA / STÜRZ</v>
      </c>
      <c r="D7" s="68">
        <f>IF(PoolMatches!L6=PoolStandings!C7,1,IF(PoolMatches!L8=PoolStandings!C7,1,0))</f>
        <v>1</v>
      </c>
      <c r="E7" s="68">
        <f>IF(PoolMatches!M34="",0,1)</f>
        <v>1</v>
      </c>
      <c r="F7" s="68"/>
      <c r="G7" s="68"/>
      <c r="H7" s="68">
        <f>SUMIFS(PoolMatches!$D$2:$D$45,PoolMatches!$C$2:$C$45,PoolStandings!C7)</f>
        <v>2</v>
      </c>
      <c r="I7" s="68">
        <f>SUMIFS(PoolMatches!$N$2:$N$45,PoolMatches!$C$2:$C$45,PoolStandings!C7)</f>
        <v>2</v>
      </c>
      <c r="J7" s="69">
        <f t="shared" si="1"/>
        <v>1</v>
      </c>
      <c r="K7" s="68">
        <f>SUMIFS(PoolMatches!$E$2:$E$45,PoolMatches!$C$2:$C$45,PoolStandings!C7)+SUMIFS(PoolMatches!$F$2:$F$45,PoolMatches!$C$2:$C$45,PoolStandings!C7)+SUMIFS(PoolMatches!$G$2:$G$45,PoolMatches!$C$2:$C$45,PoolStandings!C7)</f>
        <v>47</v>
      </c>
      <c r="L7" s="68">
        <f>SUMIFS(PoolMatches!$O$2:$O$29,PoolMatches!$C$2:$C$29,PoolStandings!C7)+SUMIFS(PoolMatches!$P$2:$P$29,PoolMatches!$C$2:$C$29,PoolStandings!C7)+SUMIFS(PoolMatches!$Q$2:$Q$29,PoolMatches!$C$2:$C$29,PoolStandings!C7)</f>
        <v>11</v>
      </c>
      <c r="M7" s="69">
        <f t="shared" si="2"/>
        <v>4.272727273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>
      <c r="A8" s="68" t="s">
        <v>244</v>
      </c>
      <c r="B8" s="68">
        <v>3.0</v>
      </c>
      <c r="C8" s="68" t="str">
        <f>IF(PoolMatches!D36="",PoolMatches!L8,PoolMatches!L36)</f>
        <v>#16, YESSIMOVA / GLANNINGER</v>
      </c>
      <c r="D8" s="68">
        <f>IF(PoolMatches!L36="",0,1)</f>
        <v>1</v>
      </c>
      <c r="E8" s="68">
        <f>IF(PoolMatches!M6=C8,1,IF(PoolMatches!M8=C8,1,0))</f>
        <v>1</v>
      </c>
      <c r="F8" s="68"/>
      <c r="G8" s="68"/>
      <c r="H8" s="68">
        <f>SUMIFS(PoolMatches!$D$2:$D$45,PoolMatches!$C$2:$C$45,PoolStandings!C8)</f>
        <v>2</v>
      </c>
      <c r="I8" s="68">
        <f>SUMIFS(PoolMatches!$N$2:$N$45,PoolMatches!$C$2:$C$45,PoolStandings!C8)</f>
        <v>2</v>
      </c>
      <c r="J8" s="69">
        <f t="shared" si="1"/>
        <v>1</v>
      </c>
      <c r="K8" s="68">
        <f>SUMIFS(PoolMatches!$E$2:$E$45,PoolMatches!$C$2:$C$45,PoolStandings!C8)+SUMIFS(PoolMatches!$F$2:$F$45,PoolMatches!$C$2:$C$45,PoolStandings!C8)+SUMIFS(PoolMatches!$G$2:$G$45,PoolMatches!$C$2:$C$45,PoolStandings!C8)</f>
        <v>41</v>
      </c>
      <c r="L8" s="68">
        <f>SUMIFS(PoolMatches!$O$2:$O$29,PoolMatches!$C$2:$C$29,PoolStandings!C8)+SUMIFS(PoolMatches!$P$2:$P$29,PoolMatches!$C$2:$C$29,PoolStandings!C8)+SUMIFS(PoolMatches!$Q$2:$Q$29,PoolMatches!$C$2:$C$29,PoolStandings!C8)</f>
        <v>30</v>
      </c>
      <c r="M8" s="69">
        <f t="shared" si="2"/>
        <v>1.366666667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>
      <c r="A9" s="68" t="s">
        <v>244</v>
      </c>
      <c r="B9" s="68">
        <v>4.0</v>
      </c>
      <c r="C9" s="68" t="str">
        <f>IF(PoolMatches!D36="",PoolMatches!M8,PoolMatches!M36)</f>
        <v>#27, MACINKOVIC / WAGNER</v>
      </c>
      <c r="D9" s="68">
        <v>0.0</v>
      </c>
      <c r="E9" s="68">
        <f>IF(PoolMatches!M36="",IF(PoolMatches!M6=C9,1,IF(PoolMatches!M8=C9,1,0)),2)</f>
        <v>2</v>
      </c>
      <c r="F9" s="68"/>
      <c r="G9" s="68"/>
      <c r="H9" s="68">
        <f>SUMIFS(PoolMatches!$D$2:$D$45,PoolMatches!$C$2:$C$45,PoolStandings!C9)</f>
        <v>0</v>
      </c>
      <c r="I9" s="68">
        <f>SUMIFS(PoolMatches!$N$2:$N$45,PoolMatches!$C$2:$C$45,PoolStandings!C9)</f>
        <v>4</v>
      </c>
      <c r="J9" s="69">
        <f t="shared" si="1"/>
        <v>0</v>
      </c>
      <c r="K9" s="68">
        <f>SUMIFS(PoolMatches!$E$2:$E$45,PoolMatches!$C$2:$C$45,PoolStandings!C9)+SUMIFS(PoolMatches!$F$2:$F$45,PoolMatches!$C$2:$C$45,PoolStandings!C9)+SUMIFS(PoolMatches!$G$2:$G$45,PoolMatches!$C$2:$C$45,PoolStandings!C9)</f>
        <v>27</v>
      </c>
      <c r="L9" s="68">
        <f>SUMIFS(PoolMatches!$O$2:$O$29,PoolMatches!$C$2:$C$29,PoolStandings!C9)+SUMIFS(PoolMatches!$P$2:$P$29,PoolMatches!$C$2:$C$29,PoolStandings!C9)+SUMIFS(PoolMatches!$Q$2:$Q$29,PoolMatches!$C$2:$C$29,PoolStandings!C9)</f>
        <v>30</v>
      </c>
      <c r="M9" s="69">
        <f t="shared" si="2"/>
        <v>0.9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>
      <c r="A10" s="70" t="s">
        <v>245</v>
      </c>
      <c r="B10" s="70">
        <v>1.0</v>
      </c>
      <c r="C10" s="70" t="str">
        <f>IF(PoolMatches!D38="",PoolMatches!L10,PoolMatches!L38)</f>
        <v>#3, HOFSTETTER / SHKARUPA</v>
      </c>
      <c r="D10" s="70">
        <f>IF(PoolMatches!L38="",IF(PoolMatches!L10=C10,1,IF(PoolMatches!L12=PoolStandings!C10,1,0)),2)</f>
        <v>2</v>
      </c>
      <c r="E10" s="70">
        <v>0.0</v>
      </c>
      <c r="F10" s="70"/>
      <c r="G10" s="70"/>
      <c r="H10" s="70">
        <f>SUMIFS(PoolMatches!$D$2:$D$45,PoolMatches!$C$2:$C$45,PoolStandings!C10)</f>
        <v>4</v>
      </c>
      <c r="I10" s="70">
        <f>SUMIFS(PoolMatches!$N$2:$N$45,PoolMatches!$C$2:$C$45,PoolStandings!C10)</f>
        <v>0</v>
      </c>
      <c r="J10" s="71" t="str">
        <f t="shared" si="1"/>
        <v>MAX</v>
      </c>
      <c r="K10" s="70">
        <f>SUMIFS(PoolMatches!$E$2:$E$45,PoolMatches!$C$2:$C$45,PoolStandings!C10)+SUMIFS(PoolMatches!$F$2:$F$45,PoolMatches!$C$2:$C$45,PoolStandings!C10)+SUMIFS(PoolMatches!$G$2:$G$45,PoolMatches!$C$2:$C$45,PoolStandings!C10)</f>
        <v>60</v>
      </c>
      <c r="L10" s="70">
        <f>SUMIFS(PoolMatches!$O$2:$O$29,PoolMatches!$C$2:$C$29,PoolStandings!C10)+SUMIFS(PoolMatches!$P$2:$P$29,PoolMatches!$C$2:$C$29,PoolStandings!C10)+SUMIFS(PoolMatches!$Q$2:$Q$29,PoolMatches!$C$2:$C$29,PoolStandings!C10)</f>
        <v>18</v>
      </c>
      <c r="M10" s="71">
        <f t="shared" si="2"/>
        <v>3.333333333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>
      <c r="A11" s="70" t="s">
        <v>245</v>
      </c>
      <c r="B11" s="70">
        <v>2.0</v>
      </c>
      <c r="C11" s="70" t="str">
        <f>IF(PoolMatches!D38="",PoolMatches!M10,PoolMatches!M38)</f>
        <v>#17, PAUMANN / ANGERER</v>
      </c>
      <c r="D11" s="70">
        <f>IF(PoolMatches!L10=PoolStandings!C11,1,IF(PoolMatches!L12=PoolStandings!C11,1,0))</f>
        <v>1</v>
      </c>
      <c r="E11" s="70">
        <f>IF(PoolMatches!M38="",0,1)</f>
        <v>1</v>
      </c>
      <c r="F11" s="70"/>
      <c r="G11" s="70"/>
      <c r="H11" s="70">
        <f>SUMIFS(PoolMatches!$D$2:$D$45,PoolMatches!$C$2:$C$45,PoolStandings!C11)</f>
        <v>2</v>
      </c>
      <c r="I11" s="70">
        <f>SUMIFS(PoolMatches!$N$2:$N$45,PoolMatches!$C$2:$C$45,PoolStandings!C11)</f>
        <v>2</v>
      </c>
      <c r="J11" s="71">
        <f t="shared" si="1"/>
        <v>1</v>
      </c>
      <c r="K11" s="70">
        <f>SUMIFS(PoolMatches!$E$2:$E$45,PoolMatches!$C$2:$C$45,PoolStandings!C11)+SUMIFS(PoolMatches!$F$2:$F$45,PoolMatches!$C$2:$C$45,PoolStandings!C11)+SUMIFS(PoolMatches!$G$2:$G$45,PoolMatches!$C$2:$C$45,PoolStandings!C11)</f>
        <v>44</v>
      </c>
      <c r="L11" s="70">
        <f>SUMIFS(PoolMatches!$O$2:$O$29,PoolMatches!$C$2:$C$29,PoolStandings!C11)+SUMIFS(PoolMatches!$P$2:$P$29,PoolMatches!$C$2:$C$29,PoolStandings!C11)+SUMIFS(PoolMatches!$Q$2:$Q$29,PoolMatches!$C$2:$C$29,PoolStandings!C11)</f>
        <v>19</v>
      </c>
      <c r="M11" s="71">
        <f t="shared" si="2"/>
        <v>2.315789474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70" t="s">
        <v>245</v>
      </c>
      <c r="B12" s="70">
        <v>3.0</v>
      </c>
      <c r="C12" s="70" t="str">
        <f>IF(PoolMatches!D40="",PoolMatches!L12,PoolMatches!L40)</f>
        <v>#12, HAGER / WICHO</v>
      </c>
      <c r="D12" s="70">
        <f>IF(PoolMatches!L40="",0,1)</f>
        <v>1</v>
      </c>
      <c r="E12" s="70">
        <f>IF(PoolMatches!M10=C12,1,IF(PoolMatches!M12=C12,1,0))</f>
        <v>1</v>
      </c>
      <c r="F12" s="70"/>
      <c r="G12" s="70"/>
      <c r="H12" s="70">
        <f>SUMIFS(PoolMatches!$D$2:$D$45,PoolMatches!$C$2:$C$45,PoolStandings!C12)</f>
        <v>2</v>
      </c>
      <c r="I12" s="70">
        <f>SUMIFS(PoolMatches!$N$2:$N$45,PoolMatches!$C$2:$C$45,PoolStandings!C12)</f>
        <v>2</v>
      </c>
      <c r="J12" s="71">
        <f t="shared" si="1"/>
        <v>1</v>
      </c>
      <c r="K12" s="70">
        <f>SUMIFS(PoolMatches!$E$2:$E$45,PoolMatches!$C$2:$C$45,PoolStandings!C12)+SUMIFS(PoolMatches!$F$2:$F$45,PoolMatches!$C$2:$C$45,PoolStandings!C12)+SUMIFS(PoolMatches!$G$2:$G$45,PoolMatches!$C$2:$C$45,PoolStandings!C12)</f>
        <v>49</v>
      </c>
      <c r="L12" s="70">
        <f>SUMIFS(PoolMatches!$O$2:$O$29,PoolMatches!$C$2:$C$29,PoolStandings!C12)+SUMIFS(PoolMatches!$P$2:$P$29,PoolMatches!$C$2:$C$29,PoolStandings!C12)+SUMIFS(PoolMatches!$Q$2:$Q$29,PoolMatches!$C$2:$C$29,PoolStandings!C12)</f>
        <v>30</v>
      </c>
      <c r="M12" s="71">
        <f t="shared" si="2"/>
        <v>1.633333333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>
      <c r="A13" s="70" t="s">
        <v>245</v>
      </c>
      <c r="B13" s="70">
        <v>4.0</v>
      </c>
      <c r="C13" s="70" t="str">
        <f>IF(PoolMatches!D40="",PoolMatches!M12,PoolMatches!M40)</f>
        <v>#26, KAMIENIARZ / SAMS</v>
      </c>
      <c r="D13" s="70">
        <v>0.0</v>
      </c>
      <c r="E13" s="70">
        <f>IF(PoolMatches!M40="",IF(PoolMatches!M10=C13,1,IF(PoolMatches!M12=C13,1,0)),2)</f>
        <v>2</v>
      </c>
      <c r="F13" s="70"/>
      <c r="G13" s="70"/>
      <c r="H13" s="70">
        <f>SUMIFS(PoolMatches!$D$2:$D$45,PoolMatches!$C$2:$C$45,PoolStandings!C13)</f>
        <v>0</v>
      </c>
      <c r="I13" s="70">
        <f>SUMIFS(PoolMatches!$N$2:$N$45,PoolMatches!$C$2:$C$45,PoolStandings!C13)</f>
        <v>4</v>
      </c>
      <c r="J13" s="71">
        <f t="shared" si="1"/>
        <v>0</v>
      </c>
      <c r="K13" s="70">
        <f>SUMIFS(PoolMatches!$E$2:$E$45,PoolMatches!$C$2:$C$45,PoolStandings!C13)+SUMIFS(PoolMatches!$F$2:$F$45,PoolMatches!$C$2:$C$45,PoolStandings!C13)+SUMIFS(PoolMatches!$G$2:$G$45,PoolMatches!$C$2:$C$45,PoolStandings!C13)</f>
        <v>38</v>
      </c>
      <c r="L13" s="70">
        <f>SUMIFS(PoolMatches!$O$2:$O$29,PoolMatches!$C$2:$C$29,PoolStandings!C13)+SUMIFS(PoolMatches!$P$2:$P$29,PoolMatches!$C$2:$C$29,PoolStandings!C13)+SUMIFS(PoolMatches!$Q$2:$Q$29,PoolMatches!$C$2:$C$29,PoolStandings!C13)</f>
        <v>30</v>
      </c>
      <c r="M13" s="71">
        <f t="shared" si="2"/>
        <v>1.266666667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>
      <c r="A14" s="72" t="s">
        <v>246</v>
      </c>
      <c r="B14" s="72">
        <v>1.0</v>
      </c>
      <c r="C14" s="72" t="str">
        <f>IF(PoolMatches!D42="",PoolMatches!L14,PoolMatches!L42)</f>
        <v>#4, KREMSER / MASCHERBAUER</v>
      </c>
      <c r="D14" s="72">
        <f>IF(PoolMatches!L42="",IF(PoolMatches!L14=C14,1,IF(PoolMatches!L16=PoolStandings!C14,1,0)),2)</f>
        <v>2</v>
      </c>
      <c r="E14" s="72">
        <v>0.0</v>
      </c>
      <c r="F14" s="72"/>
      <c r="G14" s="72"/>
      <c r="H14" s="72">
        <f>SUMIFS(PoolMatches!$D$2:$D$45,PoolMatches!$C$2:$C$45,PoolStandings!C14)</f>
        <v>4</v>
      </c>
      <c r="I14" s="72">
        <f>SUMIFS(PoolMatches!$N$2:$N$45,PoolMatches!$C$2:$C$45,PoolStandings!C14)</f>
        <v>1</v>
      </c>
      <c r="J14" s="73">
        <f t="shared" si="1"/>
        <v>4</v>
      </c>
      <c r="K14" s="72">
        <f>SUMIFS(PoolMatches!$E$2:$E$45,PoolMatches!$C$2:$C$45,PoolStandings!C14)+SUMIFS(PoolMatches!$F$2:$F$45,PoolMatches!$C$2:$C$45,PoolStandings!C14)+SUMIFS(PoolMatches!$G$2:$G$45,PoolMatches!$C$2:$C$45,PoolStandings!C14)</f>
        <v>73</v>
      </c>
      <c r="L14" s="72">
        <f>SUMIFS(PoolMatches!$O$2:$O$29,PoolMatches!$C$2:$C$29,PoolStandings!C14)+SUMIFS(PoolMatches!$P$2:$P$29,PoolMatches!$C$2:$C$29,PoolStandings!C14)+SUMIFS(PoolMatches!$Q$2:$Q$29,PoolMatches!$C$2:$C$29,PoolStandings!C14)</f>
        <v>7</v>
      </c>
      <c r="M14" s="73">
        <f t="shared" si="2"/>
        <v>10.42857143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>
      <c r="A15" s="72" t="s">
        <v>246</v>
      </c>
      <c r="B15" s="72">
        <v>2.0</v>
      </c>
      <c r="C15" s="72" t="str">
        <f>IF(PoolMatches!D42="",PoolMatches!M14,PoolMatches!M42)</f>
        <v>#11, HEISZENBERGER / WAJDA</v>
      </c>
      <c r="D15" s="72">
        <f>IF(PoolMatches!L14=PoolStandings!C15,1,IF(PoolMatches!L16=PoolStandings!C15,1,0))</f>
        <v>1</v>
      </c>
      <c r="E15" s="72">
        <f>IF(PoolMatches!M42="",0,1)</f>
        <v>1</v>
      </c>
      <c r="F15" s="72"/>
      <c r="G15" s="72"/>
      <c r="H15" s="72">
        <f>SUMIFS(PoolMatches!$D$2:$D$45,PoolMatches!$C$2:$C$45,PoolStandings!C15)</f>
        <v>3</v>
      </c>
      <c r="I15" s="72">
        <f>SUMIFS(PoolMatches!$N$2:$N$45,PoolMatches!$C$2:$C$45,PoolStandings!C15)</f>
        <v>3</v>
      </c>
      <c r="J15" s="73">
        <f t="shared" si="1"/>
        <v>1</v>
      </c>
      <c r="K15" s="72">
        <f>SUMIFS(PoolMatches!$E$2:$E$45,PoolMatches!$C$2:$C$45,PoolStandings!C15)+SUMIFS(PoolMatches!$F$2:$F$45,PoolMatches!$C$2:$C$45,PoolStandings!C15)+SUMIFS(PoolMatches!$G$2:$G$45,PoolMatches!$C$2:$C$45,PoolStandings!C15)</f>
        <v>79</v>
      </c>
      <c r="L15" s="72">
        <f>SUMIFS(PoolMatches!$O$2:$O$29,PoolMatches!$C$2:$C$29,PoolStandings!C15)+SUMIFS(PoolMatches!$P$2:$P$29,PoolMatches!$C$2:$C$29,PoolStandings!C15)+SUMIFS(PoolMatches!$Q$2:$Q$29,PoolMatches!$C$2:$C$29,PoolStandings!C15)</f>
        <v>31</v>
      </c>
      <c r="M15" s="73">
        <f t="shared" si="2"/>
        <v>2.548387097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>
      <c r="A16" s="72" t="s">
        <v>246</v>
      </c>
      <c r="B16" s="72">
        <v>3.0</v>
      </c>
      <c r="C16" s="72" t="str">
        <f>IF(PoolMatches!D44="",PoolMatches!L16,PoolMatches!L44)</f>
        <v>#18, BEYER / SCHINAGL</v>
      </c>
      <c r="D16" s="72">
        <f>IF(PoolMatches!L44="",0,1)</f>
        <v>1</v>
      </c>
      <c r="E16" s="72">
        <f>IF(PoolMatches!M14=C16,1,IF(PoolMatches!M16=C16,1,0))</f>
        <v>1</v>
      </c>
      <c r="F16" s="72"/>
      <c r="G16" s="72"/>
      <c r="H16" s="72">
        <f>SUMIFS(PoolMatches!$D$2:$D$45,PoolMatches!$C$2:$C$45,PoolStandings!C16)</f>
        <v>3</v>
      </c>
      <c r="I16" s="72">
        <f>SUMIFS(PoolMatches!$N$2:$N$45,PoolMatches!$C$2:$C$45,PoolStandings!C16)</f>
        <v>2</v>
      </c>
      <c r="J16" s="73">
        <f t="shared" si="1"/>
        <v>1.5</v>
      </c>
      <c r="K16" s="72">
        <f>SUMIFS(PoolMatches!$E$2:$E$45,PoolMatches!$C$2:$C$45,PoolStandings!C16)+SUMIFS(PoolMatches!$F$2:$F$45,PoolMatches!$C$2:$C$45,PoolStandings!C16)+SUMIFS(PoolMatches!$G$2:$G$45,PoolMatches!$C$2:$C$45,PoolStandings!C16)</f>
        <v>61</v>
      </c>
      <c r="L16" s="72">
        <f>SUMIFS(PoolMatches!$O$2:$O$29,PoolMatches!$C$2:$C$29,PoolStandings!C16)+SUMIFS(PoolMatches!$P$2:$P$29,PoolMatches!$C$2:$C$29,PoolStandings!C16)+SUMIFS(PoolMatches!$Q$2:$Q$29,PoolMatches!$C$2:$C$29,PoolStandings!C16)</f>
        <v>44</v>
      </c>
      <c r="M16" s="73">
        <f t="shared" si="2"/>
        <v>1.386363636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>
      <c r="A17" s="72" t="s">
        <v>246</v>
      </c>
      <c r="B17" s="72">
        <v>4.0</v>
      </c>
      <c r="C17" s="72" t="str">
        <f>IF(PoolMatches!D44="",PoolMatches!M16,PoolMatches!M44)</f>
        <v>#25, PRINZHORN / SALLMANNSHOFER</v>
      </c>
      <c r="D17" s="72">
        <v>0.0</v>
      </c>
      <c r="E17" s="72">
        <f>IF(PoolMatches!M44="",IF(PoolMatches!M14=C17,1,IF(PoolMatches!M16=C17,1,0)),2)</f>
        <v>2</v>
      </c>
      <c r="F17" s="72"/>
      <c r="G17" s="72"/>
      <c r="H17" s="72">
        <f>SUMIFS(PoolMatches!$D$2:$D$45,PoolMatches!$C$2:$C$45,PoolStandings!C17)</f>
        <v>0</v>
      </c>
      <c r="I17" s="72">
        <f>SUMIFS(PoolMatches!$N$2:$N$45,PoolMatches!$C$2:$C$45,PoolStandings!C17)</f>
        <v>4</v>
      </c>
      <c r="J17" s="73">
        <f t="shared" si="1"/>
        <v>0</v>
      </c>
      <c r="K17" s="72">
        <f>SUMIFS(PoolMatches!$E$2:$E$45,PoolMatches!$C$2:$C$45,PoolStandings!C17)+SUMIFS(PoolMatches!$F$2:$F$45,PoolMatches!$C$2:$C$45,PoolStandings!C17)+SUMIFS(PoolMatches!$G$2:$G$45,PoolMatches!$C$2:$C$45,PoolStandings!C17)</f>
        <v>17</v>
      </c>
      <c r="L17" s="72">
        <f>SUMIFS(PoolMatches!$O$2:$O$29,PoolMatches!$C$2:$C$29,PoolStandings!C17)+SUMIFS(PoolMatches!$P$2:$P$29,PoolMatches!$C$2:$C$29,PoolStandings!C17)+SUMIFS(PoolMatches!$Q$2:$Q$29,PoolMatches!$C$2:$C$29,PoolStandings!C17)</f>
        <v>30</v>
      </c>
      <c r="M17" s="73">
        <f t="shared" si="2"/>
        <v>0.5666666667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>
      <c r="A18" s="74" t="s">
        <v>247</v>
      </c>
      <c r="B18" s="74">
        <v>1.0</v>
      </c>
      <c r="C18" s="74" t="str">
        <f>IF(PoolMatches!D46="",PoolMatches!L18,PoolMatches!L46)</f>
        <v>#5, BISANZ / HAMMARBERG</v>
      </c>
      <c r="D18" s="74">
        <f>IF(PoolMatches!L46="",IF(PoolMatches!L18=C18,1,IF(PoolMatches!L20=PoolStandings!C18,1,0)),2)</f>
        <v>2</v>
      </c>
      <c r="E18" s="74">
        <v>0.0</v>
      </c>
      <c r="F18" s="74"/>
      <c r="G18" s="74"/>
      <c r="H18" s="74">
        <f>SUMIFS(PoolMatches!$D$2:$D$45,PoolMatches!$C$2:$C$45,PoolStandings!C18)</f>
        <v>2</v>
      </c>
      <c r="I18" s="74">
        <f>SUMIFS(PoolMatches!$N$2:$N$45,PoolMatches!$C$2:$C$45,PoolStandings!C18)</f>
        <v>0</v>
      </c>
      <c r="J18" s="75" t="str">
        <f t="shared" si="1"/>
        <v>MAX</v>
      </c>
      <c r="K18" s="74">
        <f>SUMIFS(PoolMatches!$E$2:$E$45,PoolMatches!$C$2:$C$45,PoolStandings!C18)+SUMIFS(PoolMatches!$F$2:$F$45,PoolMatches!$C$2:$C$45,PoolStandings!C18)+SUMIFS(PoolMatches!$G$2:$G$45,PoolMatches!$C$2:$C$45,PoolStandings!C18)</f>
        <v>30</v>
      </c>
      <c r="L18" s="74">
        <f>SUMIFS(PoolMatches!$O$2:$O$29,PoolMatches!$C$2:$C$29,PoolStandings!C18)+SUMIFS(PoolMatches!$P$2:$P$29,PoolMatches!$C$2:$C$29,PoolStandings!C18)+SUMIFS(PoolMatches!$Q$2:$Q$29,PoolMatches!$C$2:$C$29,PoolStandings!C18)</f>
        <v>9</v>
      </c>
      <c r="M18" s="75">
        <f t="shared" si="2"/>
        <v>3.333333333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74" t="s">
        <v>247</v>
      </c>
      <c r="B19" s="74">
        <v>2.0</v>
      </c>
      <c r="C19" s="74" t="str">
        <f>IF(PoolMatches!D46="",PoolMatches!M18,PoolMatches!M46)</f>
        <v>#10, BOYD / STEGMÜLLER</v>
      </c>
      <c r="D19" s="74">
        <f>IF(PoolMatches!L18=PoolStandings!C19,1,IF(PoolMatches!L20=PoolStandings!C19,1,0))</f>
        <v>1</v>
      </c>
      <c r="E19" s="74">
        <f>IF(PoolMatches!M46="",0,1)</f>
        <v>1</v>
      </c>
      <c r="F19" s="74"/>
      <c r="G19" s="74"/>
      <c r="H19" s="74">
        <f>SUMIFS(PoolMatches!$D$2:$D$45,PoolMatches!$C$2:$C$45,PoolStandings!C19)</f>
        <v>2</v>
      </c>
      <c r="I19" s="74">
        <f>SUMIFS(PoolMatches!$N$2:$N$45,PoolMatches!$C$2:$C$45,PoolStandings!C19)</f>
        <v>0</v>
      </c>
      <c r="J19" s="75" t="str">
        <f t="shared" si="1"/>
        <v>MAX</v>
      </c>
      <c r="K19" s="74">
        <f>SUMIFS(PoolMatches!$E$2:$E$45,PoolMatches!$C$2:$C$45,PoolStandings!C19)+SUMIFS(PoolMatches!$F$2:$F$45,PoolMatches!$C$2:$C$45,PoolStandings!C19)+SUMIFS(PoolMatches!$G$2:$G$45,PoolMatches!$C$2:$C$45,PoolStandings!C19)</f>
        <v>30</v>
      </c>
      <c r="L19" s="74">
        <f>SUMIFS(PoolMatches!$O$2:$O$29,PoolMatches!$C$2:$C$29,PoolStandings!C19)+SUMIFS(PoolMatches!$P$2:$P$29,PoolMatches!$C$2:$C$29,PoolStandings!C19)+SUMIFS(PoolMatches!$Q$2:$Q$29,PoolMatches!$C$2:$C$29,PoolStandings!C19)</f>
        <v>16</v>
      </c>
      <c r="M19" s="75">
        <f t="shared" si="2"/>
        <v>1.875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>
      <c r="A20" s="74" t="s">
        <v>247</v>
      </c>
      <c r="B20" s="74">
        <v>3.0</v>
      </c>
      <c r="C20" s="74" t="str">
        <f>IF(PoolMatches!D48="",PoolMatches!L20,PoolMatches!L48)</f>
        <v>#19, FERSTL-SCHMID / AIGNER</v>
      </c>
      <c r="D20" s="74">
        <f>IF(PoolMatches!L48="",0,1)</f>
        <v>1</v>
      </c>
      <c r="E20" s="74">
        <f>IF(PoolMatches!M18=C20,1,IF(PoolMatches!M20=C20,1,0))</f>
        <v>1</v>
      </c>
      <c r="F20" s="74"/>
      <c r="G20" s="74"/>
      <c r="H20" s="74">
        <f>SUMIFS(PoolMatches!$D$2:$D$45,PoolMatches!$C$2:$C$45,PoolStandings!C20)</f>
        <v>0</v>
      </c>
      <c r="I20" s="74">
        <f>SUMIFS(PoolMatches!$N$2:$N$45,PoolMatches!$C$2:$C$45,PoolStandings!C20)</f>
        <v>2</v>
      </c>
      <c r="J20" s="75">
        <f t="shared" si="1"/>
        <v>0</v>
      </c>
      <c r="K20" s="74">
        <f>SUMIFS(PoolMatches!$E$2:$E$45,PoolMatches!$C$2:$C$45,PoolStandings!C20)+SUMIFS(PoolMatches!$F$2:$F$45,PoolMatches!$C$2:$C$45,PoolStandings!C20)+SUMIFS(PoolMatches!$G$2:$G$45,PoolMatches!$C$2:$C$45,PoolStandings!C20)</f>
        <v>16</v>
      </c>
      <c r="L20" s="74">
        <f>SUMIFS(PoolMatches!$O$2:$O$29,PoolMatches!$C$2:$C$29,PoolStandings!C20)+SUMIFS(PoolMatches!$P$2:$P$29,PoolMatches!$C$2:$C$29,PoolStandings!C20)+SUMIFS(PoolMatches!$Q$2:$Q$29,PoolMatches!$C$2:$C$29,PoolStandings!C20)</f>
        <v>30</v>
      </c>
      <c r="M20" s="75">
        <f t="shared" si="2"/>
        <v>0.5333333333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>
      <c r="A21" s="74" t="s">
        <v>247</v>
      </c>
      <c r="B21" s="74">
        <v>4.0</v>
      </c>
      <c r="C21" s="74" t="str">
        <f>IF(PoolMatches!D48="",PoolMatches!M20,PoolMatches!M48)</f>
        <v>#24, SCHENK / SCHWARZ</v>
      </c>
      <c r="D21" s="74">
        <v>0.0</v>
      </c>
      <c r="E21" s="74">
        <f>IF(PoolMatches!M48="",IF(PoolMatches!M18=C21,1,IF(PoolMatches!M20=C21,1,0)),2)</f>
        <v>2</v>
      </c>
      <c r="F21" s="74"/>
      <c r="G21" s="74"/>
      <c r="H21" s="74">
        <f>SUMIFS(PoolMatches!$D$2:$D$45,PoolMatches!$C$2:$C$45,PoolStandings!C21)</f>
        <v>0</v>
      </c>
      <c r="I21" s="74">
        <f>SUMIFS(PoolMatches!$N$2:$N$45,PoolMatches!$C$2:$C$45,PoolStandings!C21)</f>
        <v>2</v>
      </c>
      <c r="J21" s="75">
        <f t="shared" si="1"/>
        <v>0</v>
      </c>
      <c r="K21" s="74">
        <f>SUMIFS(PoolMatches!$E$2:$E$45,PoolMatches!$C$2:$C$45,PoolStandings!C21)+SUMIFS(PoolMatches!$F$2:$F$45,PoolMatches!$C$2:$C$45,PoolStandings!C21)+SUMIFS(PoolMatches!$G$2:$G$45,PoolMatches!$C$2:$C$45,PoolStandings!C21)</f>
        <v>9</v>
      </c>
      <c r="L21" s="74">
        <f>SUMIFS(PoolMatches!$O$2:$O$29,PoolMatches!$C$2:$C$29,PoolStandings!C21)+SUMIFS(PoolMatches!$P$2:$P$29,PoolMatches!$C$2:$C$29,PoolStandings!C21)+SUMIFS(PoolMatches!$Q$2:$Q$29,PoolMatches!$C$2:$C$29,PoolStandings!C21)</f>
        <v>30</v>
      </c>
      <c r="M21" s="75">
        <f t="shared" si="2"/>
        <v>0.3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>
      <c r="A22" s="76" t="s">
        <v>248</v>
      </c>
      <c r="B22" s="76">
        <v>1.0</v>
      </c>
      <c r="C22" s="76" t="str">
        <f>IF(PoolMatches!D50="",PoolMatches!L22,PoolMatches!L50)</f>
        <v>#6, SCHLAX / WAGNER</v>
      </c>
      <c r="D22" s="76">
        <f>IF(PoolMatches!L50="",IF(PoolMatches!L22=C22,1,IF(PoolMatches!L24=PoolStandings!C22,1,0)),2)</f>
        <v>2</v>
      </c>
      <c r="E22" s="76">
        <v>0.0</v>
      </c>
      <c r="F22" s="76"/>
      <c r="G22" s="76"/>
      <c r="H22" s="76">
        <f>SUMIFS(PoolMatches!$D$2:$D$45,PoolMatches!$C$2:$C$45,PoolStandings!C22)</f>
        <v>2</v>
      </c>
      <c r="I22" s="76">
        <f>SUMIFS(PoolMatches!$N$2:$N$45,PoolMatches!$C$2:$C$45,PoolStandings!C22)</f>
        <v>0</v>
      </c>
      <c r="J22" s="77" t="str">
        <f t="shared" si="1"/>
        <v>MAX</v>
      </c>
      <c r="K22" s="76">
        <f>SUMIFS(PoolMatches!$E$2:$E$45,PoolMatches!$C$2:$C$45,PoolStandings!C22)+SUMIFS(PoolMatches!$F$2:$F$45,PoolMatches!$C$2:$C$45,PoolStandings!C22)+SUMIFS(PoolMatches!$G$2:$G$45,PoolMatches!$C$2:$C$45,PoolStandings!C22)</f>
        <v>30</v>
      </c>
      <c r="L22" s="76">
        <f>SUMIFS(PoolMatches!$O$2:$O$29,PoolMatches!$C$2:$C$29,PoolStandings!C22)+SUMIFS(PoolMatches!$P$2:$P$29,PoolMatches!$C$2:$C$29,PoolStandings!C22)+SUMIFS(PoolMatches!$Q$2:$Q$29,PoolMatches!$C$2:$C$29,PoolStandings!C22)</f>
        <v>19</v>
      </c>
      <c r="M22" s="77">
        <f t="shared" si="2"/>
        <v>1.578947368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>
      <c r="A23" s="76" t="s">
        <v>248</v>
      </c>
      <c r="B23" s="76">
        <v>2.0</v>
      </c>
      <c r="C23" s="76" t="str">
        <f>IF(PoolMatches!D50="",PoolMatches!M22,PoolMatches!M50)</f>
        <v>#20, HAYDN / DÜRNITZHOFER</v>
      </c>
      <c r="D23" s="76">
        <f>IF(PoolMatches!L22=PoolStandings!C23,1,IF(PoolMatches!L24=PoolStandings!C23,1,0))</f>
        <v>1</v>
      </c>
      <c r="E23" s="76">
        <f>IF(PoolMatches!M50="",0,1)</f>
        <v>1</v>
      </c>
      <c r="F23" s="76"/>
      <c r="G23" s="76"/>
      <c r="H23" s="76">
        <f>SUMIFS(PoolMatches!$D$2:$D$45,PoolMatches!$C$2:$C$45,PoolStandings!C23)</f>
        <v>2</v>
      </c>
      <c r="I23" s="76">
        <f>SUMIFS(PoolMatches!$N$2:$N$45,PoolMatches!$C$2:$C$45,PoolStandings!C23)</f>
        <v>1</v>
      </c>
      <c r="J23" s="77">
        <f t="shared" si="1"/>
        <v>2</v>
      </c>
      <c r="K23" s="76">
        <f>SUMIFS(PoolMatches!$E$2:$E$45,PoolMatches!$C$2:$C$45,PoolStandings!C23)+SUMIFS(PoolMatches!$F$2:$F$45,PoolMatches!$C$2:$C$45,PoolStandings!C23)+SUMIFS(PoolMatches!$G$2:$G$45,PoolMatches!$C$2:$C$45,PoolStandings!C23)</f>
        <v>38</v>
      </c>
      <c r="L23" s="76">
        <f>SUMIFS(PoolMatches!$O$2:$O$29,PoolMatches!$C$2:$C$29,PoolStandings!C23)+SUMIFS(PoolMatches!$P$2:$P$29,PoolMatches!$C$2:$C$29,PoolStandings!C23)+SUMIFS(PoolMatches!$Q$2:$Q$29,PoolMatches!$C$2:$C$29,PoolStandings!C23)</f>
        <v>38</v>
      </c>
      <c r="M23" s="77">
        <f t="shared" si="2"/>
        <v>1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>
      <c r="A24" s="76" t="s">
        <v>248</v>
      </c>
      <c r="B24" s="76">
        <v>3.0</v>
      </c>
      <c r="C24" s="76" t="str">
        <f>IF(PoolMatches!D52="",PoolMatches!L24,PoolMatches!L52)</f>
        <v>#9, PARKANYI / FAVARETTO</v>
      </c>
      <c r="D24" s="76">
        <f>IF(PoolMatches!L52="",0,1)</f>
        <v>1</v>
      </c>
      <c r="E24" s="76">
        <f>IF(PoolMatches!M22=C24,1,IF(PoolMatches!M24=C24,1,0))</f>
        <v>1</v>
      </c>
      <c r="F24" s="76"/>
      <c r="G24" s="76"/>
      <c r="H24" s="76">
        <f>SUMIFS(PoolMatches!$D$2:$D$45,PoolMatches!$C$2:$C$45,PoolStandings!C24)</f>
        <v>1</v>
      </c>
      <c r="I24" s="76">
        <f>SUMIFS(PoolMatches!$N$2:$N$45,PoolMatches!$C$2:$C$45,PoolStandings!C24)</f>
        <v>2</v>
      </c>
      <c r="J24" s="77">
        <f t="shared" si="1"/>
        <v>0.5</v>
      </c>
      <c r="K24" s="76">
        <f>SUMIFS(PoolMatches!$E$2:$E$45,PoolMatches!$C$2:$C$45,PoolStandings!C24)+SUMIFS(PoolMatches!$F$2:$F$45,PoolMatches!$C$2:$C$45,PoolStandings!C24)+SUMIFS(PoolMatches!$G$2:$G$45,PoolMatches!$C$2:$C$45,PoolStandings!C24)</f>
        <v>38</v>
      </c>
      <c r="L24" s="76">
        <f>SUMIFS(PoolMatches!$O$2:$O$29,PoolMatches!$C$2:$C$29,PoolStandings!C24)+SUMIFS(PoolMatches!$P$2:$P$29,PoolMatches!$C$2:$C$29,PoolStandings!C24)+SUMIFS(PoolMatches!$Q$2:$Q$29,PoolMatches!$C$2:$C$29,PoolStandings!C24)</f>
        <v>38</v>
      </c>
      <c r="M24" s="77">
        <f t="shared" si="2"/>
        <v>1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>
      <c r="A25" s="76" t="s">
        <v>248</v>
      </c>
      <c r="B25" s="76">
        <v>4.0</v>
      </c>
      <c r="C25" s="76" t="str">
        <f>IF(PoolMatches!D52="",PoolMatches!M24,PoolMatches!M52)</f>
        <v>#23, GIFFINGER / FREY</v>
      </c>
      <c r="D25" s="76">
        <v>0.0</v>
      </c>
      <c r="E25" s="76">
        <f>IF(PoolMatches!M52="",IF(PoolMatches!M22=C25,1,IF(PoolMatches!M24=C25,1,0)),2)</f>
        <v>2</v>
      </c>
      <c r="F25" s="76"/>
      <c r="G25" s="76"/>
      <c r="H25" s="76">
        <f>SUMIFS(PoolMatches!$D$2:$D$45,PoolMatches!$C$2:$C$45,PoolStandings!C25)</f>
        <v>0</v>
      </c>
      <c r="I25" s="76">
        <f>SUMIFS(PoolMatches!$N$2:$N$45,PoolMatches!$C$2:$C$45,PoolStandings!C25)</f>
        <v>2</v>
      </c>
      <c r="J25" s="77">
        <f t="shared" si="1"/>
        <v>0</v>
      </c>
      <c r="K25" s="76">
        <f>SUMIFS(PoolMatches!$E$2:$E$45,PoolMatches!$C$2:$C$45,PoolStandings!C25)+SUMIFS(PoolMatches!$F$2:$F$45,PoolMatches!$C$2:$C$45,PoolStandings!C25)+SUMIFS(PoolMatches!$G$2:$G$45,PoolMatches!$C$2:$C$45,PoolStandings!C25)</f>
        <v>19</v>
      </c>
      <c r="L25" s="76">
        <f>SUMIFS(PoolMatches!$O$2:$O$29,PoolMatches!$C$2:$C$29,PoolStandings!C25)+SUMIFS(PoolMatches!$P$2:$P$29,PoolMatches!$C$2:$C$29,PoolStandings!C25)+SUMIFS(PoolMatches!$Q$2:$Q$29,PoolMatches!$C$2:$C$29,PoolStandings!C25)</f>
        <v>30</v>
      </c>
      <c r="M25" s="77">
        <f t="shared" si="2"/>
        <v>0.6333333333</v>
      </c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>
      <c r="A26" s="78" t="s">
        <v>249</v>
      </c>
      <c r="B26" s="78">
        <v>1.0</v>
      </c>
      <c r="C26" s="78" t="str">
        <f>IF(PoolMatches!D54="",PoolMatches!L26,PoolMatches!L54)</f>
        <v>#8, PANY / PALENCZAT</v>
      </c>
      <c r="D26" s="78">
        <f>IF(PoolMatches!L54="",IF(PoolMatches!L26=C26,1,IF(PoolMatches!L28=PoolStandings!C26,1,0)),2)</f>
        <v>2</v>
      </c>
      <c r="E26" s="78">
        <v>0.0</v>
      </c>
      <c r="F26" s="78"/>
      <c r="G26" s="78"/>
      <c r="H26" s="78">
        <f>SUMIFS(PoolMatches!$D$2:$D$45,PoolMatches!$C$2:$C$45,PoolStandings!C26)</f>
        <v>2</v>
      </c>
      <c r="I26" s="78">
        <f>SUMIFS(PoolMatches!$N$2:$N$45,PoolMatches!$C$2:$C$45,PoolStandings!C26)</f>
        <v>0</v>
      </c>
      <c r="J26" s="78" t="str">
        <f t="shared" si="1"/>
        <v>MAX</v>
      </c>
      <c r="K26" s="78">
        <f>SUMIFS(PoolMatches!$E$2:$E$45,PoolMatches!$C$2:$C$45,PoolStandings!C26)+SUMIFS(PoolMatches!$F$2:$F$45,PoolMatches!$C$2:$C$45,PoolStandings!C26)+SUMIFS(PoolMatches!$G$2:$G$45,PoolMatches!$C$2:$C$45,PoolStandings!C26)</f>
        <v>30</v>
      </c>
      <c r="L26" s="78">
        <f>SUMIFS(PoolMatches!$O$2:$O$29,PoolMatches!$C$2:$C$29,PoolStandings!C26)+SUMIFS(PoolMatches!$P$2:$P$29,PoolMatches!$C$2:$C$29,PoolStandings!C26)+SUMIFS(PoolMatches!$Q$2:$Q$29,PoolMatches!$C$2:$C$29,PoolStandings!C26)</f>
        <v>12</v>
      </c>
      <c r="M26" s="78">
        <f t="shared" si="2"/>
        <v>2.5</v>
      </c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>
      <c r="A27" s="78" t="s">
        <v>249</v>
      </c>
      <c r="B27" s="78">
        <v>2.0</v>
      </c>
      <c r="C27" s="78" t="str">
        <f>IF(PoolMatches!D54="",PoolMatches!M26,PoolMatches!M54)</f>
        <v>#7, HOCHREITER / WINDISCH</v>
      </c>
      <c r="D27" s="78">
        <f>IF(PoolMatches!L26=PoolStandings!C27,1,IF(PoolMatches!L28=PoolStandings!C27,1,0))</f>
        <v>1</v>
      </c>
      <c r="E27" s="78">
        <f>IF(PoolMatches!M54="",0,1)</f>
        <v>1</v>
      </c>
      <c r="F27" s="78"/>
      <c r="G27" s="78"/>
      <c r="H27" s="78">
        <f>SUMIFS(PoolMatches!$D$2:$D$45,PoolMatches!$C$2:$C$45,PoolStandings!C27)</f>
        <v>2</v>
      </c>
      <c r="I27" s="78">
        <f>SUMIFS(PoolMatches!$N$2:$N$45,PoolMatches!$C$2:$C$45,PoolStandings!C27)</f>
        <v>0</v>
      </c>
      <c r="J27" s="78" t="str">
        <f t="shared" si="1"/>
        <v>MAX</v>
      </c>
      <c r="K27" s="78">
        <f>SUMIFS(PoolMatches!$E$2:$E$45,PoolMatches!$C$2:$C$45,PoolStandings!C27)+SUMIFS(PoolMatches!$F$2:$F$45,PoolMatches!$C$2:$C$45,PoolStandings!C27)+SUMIFS(PoolMatches!$G$2:$G$45,PoolMatches!$C$2:$C$45,PoolStandings!C27)</f>
        <v>30</v>
      </c>
      <c r="L27" s="78">
        <f>SUMIFS(PoolMatches!$O$2:$O$29,PoolMatches!$C$2:$C$29,PoolStandings!C27)+SUMIFS(PoolMatches!$P$2:$P$29,PoolMatches!$C$2:$C$29,PoolStandings!C27)+SUMIFS(PoolMatches!$Q$2:$Q$29,PoolMatches!$C$2:$C$29,PoolStandings!C27)</f>
        <v>20</v>
      </c>
      <c r="M27" s="78">
        <f t="shared" si="2"/>
        <v>1.5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>
      <c r="A28" s="78" t="s">
        <v>249</v>
      </c>
      <c r="B28" s="78">
        <v>3.0</v>
      </c>
      <c r="C28" s="78" t="str">
        <f>IF(PoolMatches!D56="",PoolMatches!L28,PoolMatches!L56)</f>
        <v>#22, PICHLER / GRAF</v>
      </c>
      <c r="D28" s="78">
        <f>IF(PoolMatches!L56="",0,1)</f>
        <v>1</v>
      </c>
      <c r="E28" s="78">
        <f>IF(PoolMatches!M26=C28,1,IF(PoolMatches!M28=C28,1,0))</f>
        <v>1</v>
      </c>
      <c r="F28" s="78"/>
      <c r="G28" s="78"/>
      <c r="H28" s="78">
        <f>SUMIFS(PoolMatches!$D$2:$D$45,PoolMatches!$C$2:$C$45,PoolStandings!C28)</f>
        <v>0</v>
      </c>
      <c r="I28" s="78">
        <f>SUMIFS(PoolMatches!$N$2:$N$45,PoolMatches!$C$2:$C$45,PoolStandings!C28)</f>
        <v>2</v>
      </c>
      <c r="J28" s="78">
        <f t="shared" si="1"/>
        <v>0</v>
      </c>
      <c r="K28" s="78">
        <f>SUMIFS(PoolMatches!$E$2:$E$45,PoolMatches!$C$2:$C$45,PoolStandings!C28)+SUMIFS(PoolMatches!$F$2:$F$45,PoolMatches!$C$2:$C$45,PoolStandings!C28)+SUMIFS(PoolMatches!$G$2:$G$45,PoolMatches!$C$2:$C$45,PoolStandings!C28)</f>
        <v>20</v>
      </c>
      <c r="L28" s="78">
        <f>SUMIFS(PoolMatches!$O$2:$O$29,PoolMatches!$C$2:$C$29,PoolStandings!C28)+SUMIFS(PoolMatches!$P$2:$P$29,PoolMatches!$C$2:$C$29,PoolStandings!C28)+SUMIFS(PoolMatches!$Q$2:$Q$29,PoolMatches!$C$2:$C$29,PoolStandings!C28)</f>
        <v>30</v>
      </c>
      <c r="M28" s="78">
        <f t="shared" si="2"/>
        <v>0.6666666667</v>
      </c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>
      <c r="A29" s="78" t="s">
        <v>249</v>
      </c>
      <c r="B29" s="78">
        <v>4.0</v>
      </c>
      <c r="C29" s="78" t="str">
        <f>IF(PoolMatches!D56="",PoolMatches!M28,PoolMatches!M56)</f>
        <v>#21, MARK / WOLF</v>
      </c>
      <c r="D29" s="78">
        <v>0.0</v>
      </c>
      <c r="E29" s="78">
        <f>IF(PoolMatches!M56="",IF(PoolMatches!M26=C29,1,IF(PoolMatches!M28=C29,1,0)),2)</f>
        <v>2</v>
      </c>
      <c r="F29" s="78"/>
      <c r="G29" s="78"/>
      <c r="H29" s="78">
        <f>SUMIFS(PoolMatches!$D$2:$D$45,PoolMatches!$C$2:$C$45,PoolStandings!C29)</f>
        <v>0</v>
      </c>
      <c r="I29" s="78">
        <f>SUMIFS(PoolMatches!$N$2:$N$45,PoolMatches!$C$2:$C$45,PoolStandings!C29)</f>
        <v>2</v>
      </c>
      <c r="J29" s="78">
        <f t="shared" si="1"/>
        <v>0</v>
      </c>
      <c r="K29" s="78">
        <f>SUMIFS(PoolMatches!$E$2:$E$45,PoolMatches!$C$2:$C$45,PoolStandings!C29)+SUMIFS(PoolMatches!$F$2:$F$45,PoolMatches!$C$2:$C$45,PoolStandings!C29)+SUMIFS(PoolMatches!$G$2:$G$45,PoolMatches!$C$2:$C$45,PoolStandings!C29)</f>
        <v>12</v>
      </c>
      <c r="L29" s="78">
        <f>SUMIFS(PoolMatches!$O$2:$O$29,PoolMatches!$C$2:$C$29,PoolStandings!C29)+SUMIFS(PoolMatches!$P$2:$P$29,PoolMatches!$C$2:$C$29,PoolStandings!C29)+SUMIFS(PoolMatches!$Q$2:$Q$29,PoolMatches!$C$2:$C$29,PoolStandings!C29)</f>
        <v>30</v>
      </c>
      <c r="M29" s="78">
        <f t="shared" si="2"/>
        <v>0.4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printOptions/>
  <pageMargins bottom="0.787401575" footer="0.0" header="0.0" left="0.7" right="0.7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38.71"/>
    <col customWidth="1" min="3" max="3" width="10.71"/>
    <col customWidth="1" min="4" max="4" width="7.71"/>
    <col customWidth="1" min="5" max="5" width="13.43"/>
    <col customWidth="1" min="6" max="6" width="10.71"/>
    <col customWidth="1" min="7" max="7" width="7.86"/>
    <col customWidth="1" min="8" max="8" width="15.57"/>
    <col customWidth="1" min="9" max="9" width="16.29"/>
    <col customWidth="1" min="10" max="10" width="17.14"/>
    <col customWidth="1" min="11" max="11" width="16.71"/>
    <col customWidth="1" min="12" max="12" width="30.71"/>
    <col customWidth="1" min="13" max="14" width="10.71"/>
    <col customWidth="1" min="15" max="17" width="0.43"/>
    <col customWidth="1" min="18" max="26" width="10.71"/>
  </cols>
  <sheetData>
    <row r="1">
      <c r="B1" s="30" t="s">
        <v>250</v>
      </c>
      <c r="C1" s="79" t="s">
        <v>251</v>
      </c>
      <c r="D1" s="30" t="s">
        <v>252</v>
      </c>
      <c r="E1" s="30" t="s">
        <v>253</v>
      </c>
      <c r="J1" s="30" t="s">
        <v>254</v>
      </c>
      <c r="L1" s="30" t="s">
        <v>208</v>
      </c>
      <c r="M1" s="30" t="s">
        <v>255</v>
      </c>
      <c r="O1" s="80"/>
      <c r="P1" s="80"/>
    </row>
    <row r="2">
      <c r="A2" s="30">
        <v>1.0</v>
      </c>
      <c r="B2" s="30" t="str">
        <f>PoolStandings!C2</f>
        <v>#1, BAUER / HASELSTEINER</v>
      </c>
      <c r="C2" s="79">
        <f>PoolStandings!M2</f>
        <v>10.16666667</v>
      </c>
      <c r="D2" s="30">
        <f t="shared" ref="D2:D3" si="1">RANK(C2,C$2:C$3,0)</f>
        <v>1</v>
      </c>
      <c r="E2" s="81">
        <f t="shared" ref="E2:E8" si="2">D2</f>
        <v>1</v>
      </c>
      <c r="H2" s="30" t="str">
        <f t="shared" ref="H2:H3" si="3">IF(E2=1, "Best A1/B1", "Worst A1/B1")</f>
        <v>Best A1/B1</v>
      </c>
      <c r="J2" s="30" t="s">
        <v>256</v>
      </c>
      <c r="L2" s="30" t="str">
        <f t="array" ref="L2">INDEX(B:B,MATCH("Best A1/B1",H:H,0))</f>
        <v>#1, BAUER / HASELSTEINER</v>
      </c>
      <c r="M2" s="30" t="s">
        <v>257</v>
      </c>
      <c r="O2" s="80"/>
      <c r="P2" s="80"/>
    </row>
    <row r="3">
      <c r="A3" s="30">
        <v>1.0</v>
      </c>
      <c r="B3" s="30" t="str">
        <f>PoolStandings!C6</f>
        <v>#2, ELSNER / PFAU</v>
      </c>
      <c r="C3" s="79">
        <f>PoolStandings!M6</f>
        <v>7.5</v>
      </c>
      <c r="D3" s="82">
        <f t="shared" si="1"/>
        <v>2</v>
      </c>
      <c r="E3" s="81">
        <f t="shared" si="2"/>
        <v>2</v>
      </c>
      <c r="F3" s="83"/>
      <c r="H3" s="30" t="str">
        <f t="shared" si="3"/>
        <v>Worst A1/B1</v>
      </c>
      <c r="J3" s="30" t="s">
        <v>258</v>
      </c>
      <c r="L3" s="30" t="str">
        <f t="array" ref="L3">INDEX(B:B,MATCH("Worst A1/B1",H:H,0))</f>
        <v>#2, ELSNER / PFAU</v>
      </c>
      <c r="M3" s="30" t="s">
        <v>259</v>
      </c>
      <c r="O3" s="80"/>
      <c r="P3" s="80"/>
    </row>
    <row r="4">
      <c r="A4" s="30">
        <v>1.0</v>
      </c>
      <c r="B4" s="30" t="str">
        <f>PoolStandings!C10</f>
        <v>#3, HOFSTETTER / SHKARUPA</v>
      </c>
      <c r="C4" s="79">
        <f>PoolStandings!M10</f>
        <v>3.333333333</v>
      </c>
      <c r="D4" s="30">
        <f t="shared" ref="D4:D5" si="4">RANK(C4,C$4:C$5,0)</f>
        <v>2</v>
      </c>
      <c r="E4" s="84">
        <f t="shared" si="2"/>
        <v>2</v>
      </c>
      <c r="H4" s="30" t="str">
        <f t="shared" ref="H4:H5" si="5">IF(E4=1, "Best C1/D1", "Worst C1/D1")</f>
        <v>Worst C1/D1</v>
      </c>
      <c r="J4" s="30" t="s">
        <v>260</v>
      </c>
      <c r="L4" s="30" t="str">
        <f t="array" ref="L4">INDEX(B:B,MATCH("Best C1/D1",H:H,0))</f>
        <v>#4, KREMSER / MASCHERBAUER</v>
      </c>
      <c r="M4" s="30" t="s">
        <v>261</v>
      </c>
      <c r="O4" s="80"/>
      <c r="P4" s="80"/>
    </row>
    <row r="5">
      <c r="A5" s="30">
        <v>1.0</v>
      </c>
      <c r="B5" s="30" t="str">
        <f>PoolStandings!C14</f>
        <v>#4, KREMSER / MASCHERBAUER</v>
      </c>
      <c r="C5" s="79">
        <f>PoolStandings!M14</f>
        <v>10.42857143</v>
      </c>
      <c r="D5" s="30">
        <f t="shared" si="4"/>
        <v>1</v>
      </c>
      <c r="E5" s="81">
        <f t="shared" si="2"/>
        <v>1</v>
      </c>
      <c r="H5" s="30" t="str">
        <f t="shared" si="5"/>
        <v>Best C1/D1</v>
      </c>
      <c r="J5" s="30" t="s">
        <v>262</v>
      </c>
      <c r="L5" s="30" t="str">
        <f t="array" ref="L5">INDEX(B:B,MATCH("Worst C1/D1",H:H,0))</f>
        <v>#3, HOFSTETTER / SHKARUPA</v>
      </c>
      <c r="M5" s="30" t="s">
        <v>263</v>
      </c>
      <c r="O5" s="80"/>
      <c r="P5" s="80"/>
    </row>
    <row r="6">
      <c r="A6" s="30">
        <v>1.0</v>
      </c>
      <c r="B6" s="30" t="str">
        <f>PoolStandings!C18</f>
        <v>#5, BISANZ / HAMMARBERG</v>
      </c>
      <c r="C6" s="79">
        <f>PoolStandings!M18</f>
        <v>3.333333333</v>
      </c>
      <c r="D6" s="30">
        <f t="shared" ref="D6:D7" si="6">RANK(C6,C$6:C$7,0)</f>
        <v>1</v>
      </c>
      <c r="E6" s="81">
        <f t="shared" si="2"/>
        <v>1</v>
      </c>
      <c r="H6" s="30" t="str">
        <f t="shared" ref="H6:H7" si="7">IF(E6=1, "Best E1/F1", "Worst E1/F1")</f>
        <v>Best E1/F1</v>
      </c>
      <c r="J6" s="30" t="s">
        <v>264</v>
      </c>
      <c r="L6" s="30" t="str">
        <f t="array" ref="L6">INDEX(B:B,MATCH("Best E1/F1",H:H,0))</f>
        <v>#5, BISANZ / HAMMARBERG</v>
      </c>
      <c r="M6" s="30" t="s">
        <v>265</v>
      </c>
      <c r="O6" s="80"/>
      <c r="P6" s="80"/>
    </row>
    <row r="7">
      <c r="A7" s="30">
        <v>1.0</v>
      </c>
      <c r="B7" s="30" t="str">
        <f>PoolStandings!C22</f>
        <v>#6, SCHLAX / WAGNER</v>
      </c>
      <c r="C7" s="79">
        <f>PoolStandings!M22</f>
        <v>1.578947368</v>
      </c>
      <c r="D7" s="30">
        <f t="shared" si="6"/>
        <v>2</v>
      </c>
      <c r="E7" s="81">
        <f t="shared" si="2"/>
        <v>2</v>
      </c>
      <c r="H7" s="30" t="str">
        <f t="shared" si="7"/>
        <v>Worst E1/F1</v>
      </c>
      <c r="J7" s="30" t="s">
        <v>266</v>
      </c>
      <c r="L7" s="30" t="str">
        <f t="array" ref="L7">INDEX(B:B,MATCH("Worst E1/F1",H:H,0))</f>
        <v>#6, SCHLAX / WAGNER</v>
      </c>
      <c r="M7" s="30" t="s">
        <v>267</v>
      </c>
      <c r="O7" s="80"/>
      <c r="P7" s="80"/>
    </row>
    <row r="8">
      <c r="A8" s="30">
        <v>1.0</v>
      </c>
      <c r="B8" s="30" t="str">
        <f>PoolStandings!C26</f>
        <v>#8, PANY / PALENCZAT</v>
      </c>
      <c r="C8" s="79">
        <f>PoolStandings!M26</f>
        <v>2.5</v>
      </c>
      <c r="D8" s="30">
        <f>RANK(C8,C$8,0)</f>
        <v>1</v>
      </c>
      <c r="E8" s="81">
        <f t="shared" si="2"/>
        <v>1</v>
      </c>
      <c r="H8" s="30" t="str">
        <f>IF(E8=1, "Best G1/H1", "Worst G1/H1")</f>
        <v>Best G1/H1</v>
      </c>
      <c r="J8" s="30" t="s">
        <v>268</v>
      </c>
      <c r="L8" s="30" t="str">
        <f t="array" ref="L8">INDEX(B:B,MATCH("Best G1/H1",H:H,0))</f>
        <v>#8, PANY / PALENCZAT</v>
      </c>
      <c r="M8" s="30" t="s">
        <v>269</v>
      </c>
      <c r="O8" s="80"/>
      <c r="P8" s="80"/>
    </row>
    <row r="9">
      <c r="C9" s="79"/>
      <c r="H9" s="30" t="s">
        <v>270</v>
      </c>
      <c r="J9" s="30" t="s">
        <v>271</v>
      </c>
      <c r="L9" s="30" t="str">
        <f t="array" ref="L9">INDEX($B$10:$B$16,MATCH(1,$E$10:$E$16,0))</f>
        <v>#13, SZUDA / STÜRZ</v>
      </c>
      <c r="M9" s="30" t="s">
        <v>272</v>
      </c>
      <c r="O9" s="80"/>
      <c r="P9" s="80"/>
    </row>
    <row r="10">
      <c r="A10" s="30">
        <v>2.0</v>
      </c>
      <c r="B10" s="30" t="str">
        <f>PoolStandings!C3</f>
        <v>#15, MATĚJKOVÁ / SANCHEZ</v>
      </c>
      <c r="C10" s="79">
        <f>PoolStandings!M3</f>
        <v>2.7</v>
      </c>
      <c r="D10" s="30">
        <f t="shared" ref="D10:D16" si="8">_xlfn.RANK.AVG(C10,C$10:C$16,0)</f>
        <v>2</v>
      </c>
      <c r="E10" s="81">
        <f t="shared" ref="E10:E16" si="9">D10</f>
        <v>2</v>
      </c>
      <c r="O10" s="80"/>
      <c r="P10" s="80"/>
    </row>
    <row r="11" ht="14.25" customHeight="1">
      <c r="A11" s="30">
        <v>2.0</v>
      </c>
      <c r="B11" s="30" t="str">
        <f>PoolStandings!C7</f>
        <v>#13, SZUDA / STÜRZ</v>
      </c>
      <c r="C11" s="79">
        <f>PoolStandings!M7</f>
        <v>4.272727273</v>
      </c>
      <c r="D11" s="30">
        <f t="shared" si="8"/>
        <v>1</v>
      </c>
      <c r="E11" s="81">
        <f t="shared" si="9"/>
        <v>1</v>
      </c>
      <c r="H11" s="85" t="s">
        <v>273</v>
      </c>
      <c r="I11" s="30" t="str">
        <f t="array" ref="I11">INDEX($B$10:$B$16,MATCH(2,$E$10:$E$16,0))</f>
        <v>#15, MATĚJKOVÁ / SANCHEZ</v>
      </c>
      <c r="J11" s="86">
        <v>2.0</v>
      </c>
      <c r="L11" s="30" t="str">
        <f t="array" ref="L11">INDEX($I$11:$I$18,MATCH(1,$J$11:$J$18,0))</f>
        <v>#10, BOYD / STEGMÜLLER</v>
      </c>
      <c r="M11" s="87" t="s">
        <v>274</v>
      </c>
      <c r="O11" s="88">
        <f t="array" ref="O11:O18">SEQUENCE(8)</f>
        <v>1</v>
      </c>
      <c r="P11" s="88">
        <f t="shared" ref="P11:P18" si="10">RAND()</f>
        <v>0.8711141943</v>
      </c>
    </row>
    <row r="12">
      <c r="A12" s="30">
        <v>2.0</v>
      </c>
      <c r="B12" s="30" t="str">
        <f>PoolStandings!C11</f>
        <v>#17, PAUMANN / ANGERER</v>
      </c>
      <c r="C12" s="79">
        <f>PoolStandings!M11</f>
        <v>2.315789474</v>
      </c>
      <c r="D12" s="30">
        <f t="shared" si="8"/>
        <v>4</v>
      </c>
      <c r="E12" s="81">
        <f t="shared" si="9"/>
        <v>4</v>
      </c>
      <c r="I12" s="30" t="str">
        <f t="array" ref="I12">INDEX($B$10:$B$16,MATCH(3,$E$10:$E$16,0))</f>
        <v>#11, HEISZENBERGER / WAJDA</v>
      </c>
      <c r="J12" s="86">
        <v>4.0</v>
      </c>
      <c r="L12" s="30" t="str">
        <f t="array" ref="L12">INDEX($I$11:$I$18,MATCH(2,$J$11:$J$18,0))</f>
        <v>#15, MATĚJKOVÁ / SANCHEZ</v>
      </c>
      <c r="M12" s="87" t="s">
        <v>275</v>
      </c>
      <c r="O12" s="88">
        <v>2.0</v>
      </c>
      <c r="P12" s="88">
        <f t="shared" si="10"/>
        <v>0.2743201708</v>
      </c>
    </row>
    <row r="13">
      <c r="A13" s="30">
        <v>2.0</v>
      </c>
      <c r="B13" s="30" t="str">
        <f>PoolStandings!C15</f>
        <v>#11, HEISZENBERGER / WAJDA</v>
      </c>
      <c r="C13" s="79">
        <f>PoolStandings!M15</f>
        <v>2.548387097</v>
      </c>
      <c r="D13" s="30">
        <f t="shared" si="8"/>
        <v>3</v>
      </c>
      <c r="E13" s="81">
        <f t="shared" si="9"/>
        <v>3</v>
      </c>
      <c r="I13" s="30" t="str">
        <f t="array" ref="I13">INDEX($B$10:$B$16,MATCH(4,$E$10:$E$16,0))</f>
        <v>#17, PAUMANN / ANGERER</v>
      </c>
      <c r="J13" s="86">
        <v>8.0</v>
      </c>
      <c r="L13" s="30" t="str">
        <f t="array" ref="L13">INDEX($I$11:$I$18,MATCH(3,$J$11:$J$18,0))</f>
        <v>#20, HAYDN / DÜRNITZHOFER</v>
      </c>
      <c r="M13" s="87" t="s">
        <v>276</v>
      </c>
      <c r="O13" s="88">
        <v>3.0</v>
      </c>
      <c r="P13" s="88">
        <f t="shared" si="10"/>
        <v>0.4059582605</v>
      </c>
    </row>
    <row r="14">
      <c r="A14" s="30">
        <v>2.0</v>
      </c>
      <c r="B14" s="30" t="str">
        <f>PoolStandings!C19</f>
        <v>#10, BOYD / STEGMÜLLER</v>
      </c>
      <c r="C14" s="79">
        <f>PoolStandings!M19</f>
        <v>1.875</v>
      </c>
      <c r="D14" s="30">
        <f t="shared" si="8"/>
        <v>5</v>
      </c>
      <c r="E14" s="81">
        <f t="shared" si="9"/>
        <v>5</v>
      </c>
      <c r="I14" s="30" t="str">
        <f t="array" ref="I14">INDEX($B$10:$B$16,MATCH(5,$E$10:$E$16,0))</f>
        <v>#10, BOYD / STEGMÜLLER</v>
      </c>
      <c r="J14" s="86">
        <v>1.0</v>
      </c>
      <c r="L14" s="30" t="str">
        <f t="array" ref="L14">INDEX($I$11:$I$18,MATCH(4,$J$11:$J$18,0))</f>
        <v>#11, HEISZENBERGER / WAJDA</v>
      </c>
      <c r="M14" s="87" t="s">
        <v>277</v>
      </c>
      <c r="O14" s="88">
        <v>4.0</v>
      </c>
      <c r="P14" s="88">
        <f t="shared" si="10"/>
        <v>0.2055145123</v>
      </c>
    </row>
    <row r="15">
      <c r="A15" s="30">
        <v>2.0</v>
      </c>
      <c r="B15" s="30" t="str">
        <f>PoolStandings!C23</f>
        <v>#20, HAYDN / DÜRNITZHOFER</v>
      </c>
      <c r="C15" s="79">
        <f>PoolStandings!M23</f>
        <v>1</v>
      </c>
      <c r="D15" s="30">
        <f t="shared" si="8"/>
        <v>7</v>
      </c>
      <c r="E15" s="81">
        <f t="shared" si="9"/>
        <v>7</v>
      </c>
      <c r="I15" s="30" t="str">
        <f t="array" ref="I15">INDEX($B$10:$B$16,MATCH(6,$E$10:$E$16,0))</f>
        <v>#7, HOCHREITER / WINDISCH</v>
      </c>
      <c r="J15" s="86">
        <v>7.0</v>
      </c>
      <c r="L15" s="30" t="str">
        <f t="array" ref="L15">INDEX($I$11:$I$18,MATCH(5,$J$11:$J$18,0))</f>
        <v>#14, TRIBELNIG / WEINDL</v>
      </c>
      <c r="M15" s="87" t="s">
        <v>278</v>
      </c>
      <c r="O15" s="88">
        <v>5.0</v>
      </c>
      <c r="P15" s="88">
        <f t="shared" si="10"/>
        <v>0.4005303031</v>
      </c>
    </row>
    <row r="16">
      <c r="A16" s="30">
        <v>2.0</v>
      </c>
      <c r="B16" s="30" t="str">
        <f>PoolStandings!C27</f>
        <v>#7, HOCHREITER / WINDISCH</v>
      </c>
      <c r="C16" s="79">
        <f>PoolStandings!M27</f>
        <v>1.5</v>
      </c>
      <c r="D16" s="30">
        <f t="shared" si="8"/>
        <v>6</v>
      </c>
      <c r="E16" s="81">
        <f t="shared" si="9"/>
        <v>6</v>
      </c>
      <c r="I16" s="30" t="str">
        <f t="array" ref="I16">INDEX($B$10:$B$16,MATCH(7,$E$10:$E$16,0))</f>
        <v>#20, HAYDN / DÜRNITZHOFER</v>
      </c>
      <c r="J16" s="86">
        <v>3.0</v>
      </c>
      <c r="L16" s="30" t="str">
        <f t="array" ref="L16">INDEX($I$11:$I$18,MATCH(6,$J$11:$J$18,0))</f>
        <v>#12, HAGER / WICHO</v>
      </c>
      <c r="M16" s="87" t="s">
        <v>279</v>
      </c>
      <c r="O16" s="88">
        <v>6.0</v>
      </c>
      <c r="P16" s="88">
        <f t="shared" si="10"/>
        <v>0.156248163</v>
      </c>
    </row>
    <row r="17">
      <c r="C17" s="79"/>
      <c r="H17" s="89" t="s">
        <v>280</v>
      </c>
      <c r="I17" s="30" t="str">
        <f t="array" ref="I17">INDEX($B$18:$B$24,MATCH(1,$E$18:$E$24,0))</f>
        <v>#14, TRIBELNIG / WEINDL</v>
      </c>
      <c r="J17" s="86">
        <v>5.0</v>
      </c>
      <c r="L17" s="30" t="str">
        <f t="array" ref="L17">INDEX($I$11:$I$18,MATCH(7,$J$11:$J$18,0))</f>
        <v>#7, HOCHREITER / WINDISCH</v>
      </c>
      <c r="M17" s="87" t="s">
        <v>281</v>
      </c>
      <c r="O17" s="88">
        <v>7.0</v>
      </c>
      <c r="P17" s="88">
        <f t="shared" si="10"/>
        <v>0.5962697768</v>
      </c>
    </row>
    <row r="18">
      <c r="A18" s="30">
        <v>3.0</v>
      </c>
      <c r="B18" s="30" t="str">
        <f>PoolStandings!C4</f>
        <v>#14, TRIBELNIG / WEINDL</v>
      </c>
      <c r="C18" s="79">
        <f>PoolStandings!M4</f>
        <v>1.666666667</v>
      </c>
      <c r="D18" s="30">
        <f t="shared" ref="D18:D24" si="11">RANK(C18,C$18:C$24,0)</f>
        <v>1</v>
      </c>
      <c r="E18" s="81">
        <f t="shared" ref="E18:E24" si="12">D18</f>
        <v>1</v>
      </c>
      <c r="I18" s="30" t="str">
        <f t="array" ref="I18">INDEX($B$18:$B$24,MATCH(2,$E$18:$E$24,0))</f>
        <v>#12, HAGER / WICHO</v>
      </c>
      <c r="J18" s="86">
        <v>6.0</v>
      </c>
      <c r="L18" s="30" t="str">
        <f t="array" ref="L18">INDEX($I$11:$I$18,MATCH(8,$J$11:$J$18,0))</f>
        <v>#17, PAUMANN / ANGERER</v>
      </c>
      <c r="M18" s="87" t="s">
        <v>282</v>
      </c>
      <c r="O18" s="88">
        <v>8.0</v>
      </c>
      <c r="P18" s="88">
        <f t="shared" si="10"/>
        <v>0.4326968615</v>
      </c>
    </row>
    <row r="19">
      <c r="A19" s="30">
        <v>3.0</v>
      </c>
      <c r="B19" s="30" t="str">
        <f>PoolStandings!C8</f>
        <v>#16, YESSIMOVA / GLANNINGER</v>
      </c>
      <c r="C19" s="79">
        <f>PoolStandings!M8</f>
        <v>1.366666667</v>
      </c>
      <c r="D19" s="30">
        <f t="shared" si="11"/>
        <v>4</v>
      </c>
      <c r="E19" s="81">
        <f t="shared" si="12"/>
        <v>4</v>
      </c>
      <c r="J19" s="80"/>
      <c r="O19" s="80"/>
      <c r="P19" s="80"/>
    </row>
    <row r="20">
      <c r="A20" s="30">
        <v>3.0</v>
      </c>
      <c r="B20" s="30" t="str">
        <f>PoolStandings!C12</f>
        <v>#12, HAGER / WICHO</v>
      </c>
      <c r="C20" s="79">
        <f>PoolStandings!M12</f>
        <v>1.633333333</v>
      </c>
      <c r="D20" s="30">
        <f t="shared" si="11"/>
        <v>2</v>
      </c>
      <c r="E20" s="81">
        <f t="shared" si="12"/>
        <v>2</v>
      </c>
      <c r="H20" s="85" t="s">
        <v>283</v>
      </c>
      <c r="I20" s="30" t="str">
        <f t="array" ref="I20">INDEX($B$18:$B$24,MATCH(3,$E$18:$E$24,0))</f>
        <v>#18, BEYER / SCHINAGL</v>
      </c>
      <c r="J20" s="86">
        <v>2.0</v>
      </c>
      <c r="L20" s="30" t="str">
        <f t="array" ref="L20">INDEX($I$20:$I$27,MATCH(1,$J$20:$J$27,0))</f>
        <v>#16, YESSIMOVA / GLANNINGER</v>
      </c>
      <c r="M20" s="87" t="s">
        <v>274</v>
      </c>
      <c r="O20" s="88">
        <f t="array" ref="O20:O27">SEQUENCE(8)</f>
        <v>1</v>
      </c>
      <c r="P20" s="88">
        <f t="shared" ref="P20:P27" si="13">RAND()</f>
        <v>0.3965539606</v>
      </c>
    </row>
    <row r="21" ht="15.75" customHeight="1">
      <c r="A21" s="30">
        <v>3.0</v>
      </c>
      <c r="B21" s="30" t="str">
        <f>PoolStandings!C16</f>
        <v>#18, BEYER / SCHINAGL</v>
      </c>
      <c r="C21" s="79">
        <f>PoolStandings!M16</f>
        <v>1.386363636</v>
      </c>
      <c r="D21" s="30">
        <f t="shared" si="11"/>
        <v>3</v>
      </c>
      <c r="E21" s="81">
        <f t="shared" si="12"/>
        <v>3</v>
      </c>
      <c r="I21" s="30" t="str">
        <f t="array" ref="I21">INDEX($B$18:$B$24,MATCH(4,$E$18:$E$24,0))</f>
        <v>#16, YESSIMOVA / GLANNINGER</v>
      </c>
      <c r="J21" s="86">
        <v>1.0</v>
      </c>
      <c r="L21" s="30" t="str">
        <f t="array" ref="L21">INDEX($I$20:$I$27,MATCH(2,$J$20:$J$27,0))</f>
        <v>#18, BEYER / SCHINAGL</v>
      </c>
      <c r="M21" s="87" t="s">
        <v>275</v>
      </c>
      <c r="O21" s="88">
        <v>2.0</v>
      </c>
      <c r="P21" s="88">
        <f t="shared" si="13"/>
        <v>0.2065335708</v>
      </c>
    </row>
    <row r="22" ht="15.75" customHeight="1">
      <c r="A22" s="30">
        <v>3.0</v>
      </c>
      <c r="B22" s="30" t="str">
        <f>PoolStandings!C20</f>
        <v>#19, FERSTL-SCHMID / AIGNER</v>
      </c>
      <c r="C22" s="79">
        <f>PoolStandings!M20</f>
        <v>0.5333333333</v>
      </c>
      <c r="D22" s="30">
        <f t="shared" si="11"/>
        <v>7</v>
      </c>
      <c r="E22" s="81">
        <f t="shared" si="12"/>
        <v>7</v>
      </c>
      <c r="I22" s="30" t="str">
        <f t="array" ref="I22">INDEX($B$18:$B$24,MATCH(5,$E$18:$E$24,0))</f>
        <v>#9, PARKANYI / FAVARETTO</v>
      </c>
      <c r="J22" s="86">
        <v>7.0</v>
      </c>
      <c r="L22" s="30" t="str">
        <f t="array" ref="L22">INDEX($I$20:$I$27,MATCH(3,$J$20:$J$27,0))</f>
        <v>#22, PICHLER / GRAF</v>
      </c>
      <c r="M22" s="87" t="s">
        <v>276</v>
      </c>
      <c r="O22" s="88">
        <v>3.0</v>
      </c>
      <c r="P22" s="88">
        <f t="shared" si="13"/>
        <v>0.9970401969</v>
      </c>
    </row>
    <row r="23" ht="15.75" customHeight="1">
      <c r="A23" s="30">
        <v>3.0</v>
      </c>
      <c r="B23" s="30" t="str">
        <f>PoolStandings!C24</f>
        <v>#9, PARKANYI / FAVARETTO</v>
      </c>
      <c r="C23" s="79">
        <f>PoolStandings!M24</f>
        <v>1</v>
      </c>
      <c r="D23" s="30">
        <f t="shared" si="11"/>
        <v>5</v>
      </c>
      <c r="E23" s="81">
        <f t="shared" si="12"/>
        <v>5</v>
      </c>
      <c r="I23" s="30" t="str">
        <f t="array" ref="I23">INDEX($B$18:$B$24,MATCH(6,$E$18:$E$24,0))</f>
        <v>#22, PICHLER / GRAF</v>
      </c>
      <c r="J23" s="86">
        <v>3.0</v>
      </c>
      <c r="L23" s="30" t="str">
        <f t="array" ref="L23">INDEX($I$20:$I$27,MATCH(4,$J$20:$J$27,0))</f>
        <v>#26, KAMIENIARZ / SAMS</v>
      </c>
      <c r="M23" s="87" t="s">
        <v>279</v>
      </c>
      <c r="O23" s="88">
        <v>4.0</v>
      </c>
      <c r="P23" s="88">
        <f t="shared" si="13"/>
        <v>0.9652850991</v>
      </c>
    </row>
    <row r="24" ht="15.75" customHeight="1">
      <c r="A24" s="30">
        <v>3.0</v>
      </c>
      <c r="B24" s="30" t="str">
        <f>PoolStandings!C28</f>
        <v>#22, PICHLER / GRAF</v>
      </c>
      <c r="C24" s="79">
        <f>PoolStandings!M28</f>
        <v>0.6666666667</v>
      </c>
      <c r="D24" s="30">
        <f t="shared" si="11"/>
        <v>6</v>
      </c>
      <c r="E24" s="81">
        <f t="shared" si="12"/>
        <v>6</v>
      </c>
      <c r="I24" s="30" t="str">
        <f t="array" ref="I24">INDEX($B$18:$B$24,MATCH(7,$E$18:$E$24,0))</f>
        <v>#19, FERSTL-SCHMID / AIGNER</v>
      </c>
      <c r="J24" s="86">
        <v>6.0</v>
      </c>
      <c r="L24" s="30" t="str">
        <f t="array" ref="L24">INDEX($I$20:$I$27,MATCH(5,$J$20:$J$27,0))</f>
        <v>#23, GIFFINGER / FREY</v>
      </c>
      <c r="M24" s="87" t="s">
        <v>278</v>
      </c>
      <c r="O24" s="88">
        <v>5.0</v>
      </c>
      <c r="P24" s="88">
        <f t="shared" si="13"/>
        <v>0.6693122374</v>
      </c>
    </row>
    <row r="25" ht="14.25" customHeight="1">
      <c r="C25" s="79"/>
      <c r="G25" s="90"/>
      <c r="H25" s="85" t="s">
        <v>284</v>
      </c>
      <c r="I25" s="30" t="str">
        <f t="array" ref="I25">INDEX($B$26:$B$32,MATCH(1,$E$26:$E$32,0))</f>
        <v>#26, KAMIENIARZ / SAMS</v>
      </c>
      <c r="J25" s="86">
        <v>4.0</v>
      </c>
      <c r="L25" s="30" t="str">
        <f t="array" ref="L25">INDEX($I$20:$I$27,MATCH(6,$J$20:$J$27,0))</f>
        <v>#19, FERSTL-SCHMID / AIGNER</v>
      </c>
      <c r="M25" s="87" t="s">
        <v>277</v>
      </c>
      <c r="O25" s="88">
        <v>6.0</v>
      </c>
      <c r="P25" s="88">
        <f t="shared" si="13"/>
        <v>0.7969660386</v>
      </c>
    </row>
    <row r="26" ht="15.0" customHeight="1">
      <c r="A26" s="30">
        <v>4.0</v>
      </c>
      <c r="B26" s="30" t="str">
        <f>PoolStandings!C5</f>
        <v>#28, SCHUSTER / MASSIN</v>
      </c>
      <c r="C26" s="79">
        <f>PoolStandings!M5</f>
        <v>0.4666666667</v>
      </c>
      <c r="D26" s="30">
        <f t="shared" ref="D26:D32" si="14">RANK(C26,C$26:C$32,0)</f>
        <v>5</v>
      </c>
      <c r="E26" s="81">
        <f t="shared" ref="E26:E32" si="15">D26</f>
        <v>5</v>
      </c>
      <c r="F26" s="91" t="s">
        <v>285</v>
      </c>
      <c r="G26" s="90"/>
      <c r="I26" s="30" t="str">
        <f t="array" ref="I26">INDEX($B$26:$B$32,MATCH(2,$E$26:$E$32,0))</f>
        <v>#27, MACINKOVIC / WAGNER</v>
      </c>
      <c r="J26" s="86">
        <v>8.0</v>
      </c>
      <c r="L26" s="30" t="str">
        <f t="array" ref="L26">INDEX($I$20:$I$27,MATCH(7,$J$20:$J$27,0))</f>
        <v>#9, PARKANYI / FAVARETTO</v>
      </c>
      <c r="M26" s="87" t="s">
        <v>281</v>
      </c>
      <c r="O26" s="88">
        <v>7.0</v>
      </c>
      <c r="P26" s="88">
        <f t="shared" si="13"/>
        <v>0.9844137218</v>
      </c>
    </row>
    <row r="27" ht="15.75" customHeight="1">
      <c r="A27" s="30">
        <v>4.0</v>
      </c>
      <c r="B27" s="30" t="str">
        <f>PoolStandings!C9</f>
        <v>#27, MACINKOVIC / WAGNER</v>
      </c>
      <c r="C27" s="79">
        <f>PoolStandings!M9</f>
        <v>0.9</v>
      </c>
      <c r="D27" s="30">
        <f t="shared" si="14"/>
        <v>2</v>
      </c>
      <c r="E27" s="81">
        <f t="shared" si="15"/>
        <v>2</v>
      </c>
      <c r="F27" s="92"/>
      <c r="G27" s="90"/>
      <c r="I27" s="30" t="str">
        <f t="array" ref="I27">INDEX($B$26:$B$32,MATCH(3,$E$26:$E$32,0))</f>
        <v>#23, GIFFINGER / FREY</v>
      </c>
      <c r="J27" s="86">
        <v>5.0</v>
      </c>
      <c r="L27" s="30" t="str">
        <f t="array" ref="L27">INDEX($I$20:$I$27,MATCH(8,$J$20:$J$27,0))</f>
        <v>#27, MACINKOVIC / WAGNER</v>
      </c>
      <c r="M27" s="87" t="s">
        <v>282</v>
      </c>
      <c r="O27" s="88">
        <v>8.0</v>
      </c>
      <c r="P27" s="88">
        <f t="shared" si="13"/>
        <v>0.2290960597</v>
      </c>
    </row>
    <row r="28" ht="15.75" customHeight="1">
      <c r="A28" s="30">
        <v>4.0</v>
      </c>
      <c r="B28" s="30" t="str">
        <f>PoolStandings!C13</f>
        <v>#26, KAMIENIARZ / SAMS</v>
      </c>
      <c r="C28" s="79">
        <f>PoolStandings!M13</f>
        <v>1.266666667</v>
      </c>
      <c r="D28" s="30">
        <f t="shared" si="14"/>
        <v>1</v>
      </c>
      <c r="E28" s="81">
        <f t="shared" si="15"/>
        <v>1</v>
      </c>
      <c r="F28" s="92"/>
      <c r="G28" s="90"/>
      <c r="O28" s="80"/>
      <c r="P28" s="80"/>
    </row>
    <row r="29" ht="15.0" customHeight="1">
      <c r="A29" s="30">
        <v>4.0</v>
      </c>
      <c r="B29" s="30" t="str">
        <f>PoolStandings!C17</f>
        <v>#25, PRINZHORN / SALLMANNSHOFER</v>
      </c>
      <c r="C29" s="79">
        <f>PoolStandings!M17</f>
        <v>0.5666666667</v>
      </c>
      <c r="D29" s="30">
        <f t="shared" si="14"/>
        <v>4</v>
      </c>
      <c r="E29" s="81">
        <f t="shared" si="15"/>
        <v>4</v>
      </c>
      <c r="F29" s="92"/>
      <c r="G29" s="90"/>
      <c r="O29" s="80"/>
      <c r="P29" s="80"/>
    </row>
    <row r="30" ht="15.75" customHeight="1">
      <c r="A30" s="30">
        <v>4.0</v>
      </c>
      <c r="B30" s="30" t="str">
        <f>PoolStandings!C21</f>
        <v>#24, SCHENK / SCHWARZ</v>
      </c>
      <c r="C30" s="79">
        <f>PoolStandings!M21</f>
        <v>0.3</v>
      </c>
      <c r="D30" s="30">
        <f t="shared" si="14"/>
        <v>7</v>
      </c>
      <c r="E30" s="81">
        <f t="shared" si="15"/>
        <v>7</v>
      </c>
      <c r="F30" s="92"/>
      <c r="G30" s="90"/>
      <c r="O30" s="80"/>
      <c r="P30" s="80"/>
    </row>
    <row r="31" ht="15.75" customHeight="1">
      <c r="A31" s="30">
        <v>4.0</v>
      </c>
      <c r="B31" s="30" t="str">
        <f>PoolStandings!C25</f>
        <v>#23, GIFFINGER / FREY</v>
      </c>
      <c r="C31" s="79">
        <f>PoolStandings!M25</f>
        <v>0.6333333333</v>
      </c>
      <c r="D31" s="30">
        <f t="shared" si="14"/>
        <v>3</v>
      </c>
      <c r="E31" s="81">
        <f t="shared" si="15"/>
        <v>3</v>
      </c>
      <c r="F31" s="92"/>
      <c r="O31" s="80"/>
      <c r="P31" s="80"/>
    </row>
    <row r="32" ht="15.75" customHeight="1">
      <c r="A32" s="30">
        <v>4.0</v>
      </c>
      <c r="B32" s="30" t="str">
        <f>PoolStandings!C29</f>
        <v>#21, MARK / WOLF</v>
      </c>
      <c r="C32" s="79">
        <f>PoolStandings!M29</f>
        <v>0.4</v>
      </c>
      <c r="D32" s="30">
        <f t="shared" si="14"/>
        <v>6</v>
      </c>
      <c r="E32" s="81">
        <f t="shared" si="15"/>
        <v>6</v>
      </c>
      <c r="F32" s="92"/>
      <c r="O32" s="80"/>
      <c r="P32" s="80"/>
    </row>
    <row r="33" ht="15.75" customHeight="1">
      <c r="C33" s="79"/>
      <c r="E33" s="93"/>
      <c r="O33" s="80"/>
      <c r="P33" s="80"/>
    </row>
    <row r="34" ht="15.75" customHeight="1">
      <c r="C34" s="79"/>
      <c r="O34" s="80"/>
      <c r="P34" s="80"/>
    </row>
    <row r="35" ht="15.75" customHeight="1">
      <c r="C35" s="79"/>
      <c r="O35" s="80"/>
      <c r="P35" s="80"/>
    </row>
    <row r="36" ht="15.75" customHeight="1">
      <c r="C36" s="79"/>
      <c r="O36" s="80"/>
      <c r="P36" s="80"/>
    </row>
    <row r="37" ht="15.75" customHeight="1">
      <c r="C37" s="79"/>
      <c r="O37" s="80"/>
      <c r="P37" s="80"/>
    </row>
    <row r="38" ht="15.75" customHeight="1">
      <c r="C38" s="79"/>
      <c r="O38" s="80"/>
      <c r="P38" s="80"/>
    </row>
    <row r="39" ht="15.75" customHeight="1">
      <c r="C39" s="79"/>
      <c r="O39" s="80"/>
      <c r="P39" s="80"/>
    </row>
    <row r="40" ht="15.75" customHeight="1">
      <c r="C40" s="79"/>
      <c r="O40" s="80"/>
      <c r="P40" s="80"/>
    </row>
    <row r="41" ht="15.75" customHeight="1">
      <c r="C41" s="79"/>
      <c r="O41" s="80"/>
      <c r="P41" s="80"/>
    </row>
    <row r="42" ht="15.75" customHeight="1">
      <c r="C42" s="79"/>
      <c r="O42" s="80"/>
      <c r="P42" s="80"/>
    </row>
    <row r="43" ht="15.75" customHeight="1">
      <c r="C43" s="79"/>
      <c r="O43" s="80"/>
      <c r="P43" s="80"/>
    </row>
    <row r="44" ht="15.75" customHeight="1">
      <c r="C44" s="79"/>
      <c r="O44" s="80"/>
      <c r="P44" s="80"/>
    </row>
    <row r="45" ht="15.75" customHeight="1">
      <c r="C45" s="79"/>
      <c r="O45" s="80"/>
      <c r="P45" s="80"/>
    </row>
    <row r="46" ht="15.75" customHeight="1">
      <c r="C46" s="79"/>
      <c r="O46" s="80"/>
      <c r="P46" s="80"/>
    </row>
    <row r="47" ht="15.75" customHeight="1">
      <c r="C47" s="79"/>
      <c r="O47" s="80"/>
      <c r="P47" s="80"/>
    </row>
    <row r="48" ht="15.75" customHeight="1">
      <c r="C48" s="79"/>
      <c r="O48" s="80"/>
      <c r="P48" s="80"/>
    </row>
    <row r="49" ht="15.75" customHeight="1">
      <c r="C49" s="79"/>
      <c r="O49" s="80"/>
      <c r="P49" s="80"/>
    </row>
    <row r="50" ht="15.75" customHeight="1">
      <c r="C50" s="79"/>
      <c r="O50" s="80"/>
      <c r="P50" s="80"/>
    </row>
    <row r="51" ht="15.75" customHeight="1">
      <c r="C51" s="79"/>
      <c r="O51" s="80"/>
      <c r="P51" s="80"/>
    </row>
    <row r="52" ht="15.75" customHeight="1">
      <c r="C52" s="79"/>
      <c r="O52" s="80"/>
      <c r="P52" s="80"/>
    </row>
    <row r="53" ht="15.75" customHeight="1">
      <c r="C53" s="79"/>
      <c r="O53" s="80"/>
      <c r="P53" s="80"/>
    </row>
    <row r="54" ht="15.75" customHeight="1">
      <c r="C54" s="79"/>
      <c r="O54" s="80"/>
      <c r="P54" s="80"/>
    </row>
    <row r="55" ht="15.75" customHeight="1">
      <c r="C55" s="79"/>
      <c r="O55" s="80"/>
      <c r="P55" s="80"/>
    </row>
    <row r="56" ht="15.75" customHeight="1">
      <c r="C56" s="79"/>
      <c r="O56" s="80"/>
      <c r="P56" s="80"/>
    </row>
    <row r="57" ht="15.75" customHeight="1">
      <c r="C57" s="79"/>
      <c r="O57" s="80"/>
      <c r="P57" s="80"/>
    </row>
    <row r="58" ht="15.75" customHeight="1">
      <c r="C58" s="79"/>
      <c r="O58" s="80"/>
      <c r="P58" s="80"/>
    </row>
    <row r="59" ht="15.75" customHeight="1">
      <c r="C59" s="79"/>
      <c r="O59" s="80"/>
      <c r="P59" s="80"/>
    </row>
    <row r="60" ht="15.75" customHeight="1">
      <c r="C60" s="79"/>
      <c r="O60" s="80"/>
      <c r="P60" s="80"/>
    </row>
    <row r="61" ht="15.75" customHeight="1">
      <c r="C61" s="79"/>
      <c r="O61" s="80"/>
      <c r="P61" s="80"/>
    </row>
    <row r="62" ht="15.75" customHeight="1">
      <c r="C62" s="79"/>
      <c r="O62" s="80"/>
      <c r="P62" s="80"/>
    </row>
    <row r="63" ht="15.75" customHeight="1">
      <c r="C63" s="79"/>
      <c r="O63" s="80"/>
      <c r="P63" s="80"/>
    </row>
    <row r="64" ht="15.75" customHeight="1">
      <c r="C64" s="79"/>
      <c r="O64" s="80"/>
      <c r="P64" s="80"/>
    </row>
    <row r="65" ht="15.75" customHeight="1">
      <c r="C65" s="79"/>
      <c r="O65" s="80"/>
      <c r="P65" s="80"/>
    </row>
    <row r="66" ht="15.75" customHeight="1">
      <c r="C66" s="79"/>
      <c r="O66" s="80"/>
      <c r="P66" s="80"/>
    </row>
    <row r="67" ht="15.75" customHeight="1">
      <c r="C67" s="79"/>
      <c r="O67" s="80"/>
      <c r="P67" s="80"/>
    </row>
    <row r="68" ht="15.75" customHeight="1">
      <c r="C68" s="79"/>
      <c r="O68" s="80"/>
      <c r="P68" s="80"/>
    </row>
    <row r="69" ht="15.75" customHeight="1">
      <c r="C69" s="79"/>
      <c r="O69" s="80"/>
      <c r="P69" s="80"/>
    </row>
    <row r="70" ht="15.75" customHeight="1">
      <c r="C70" s="79"/>
      <c r="O70" s="80"/>
      <c r="P70" s="80"/>
    </row>
    <row r="71" ht="15.75" customHeight="1">
      <c r="C71" s="79"/>
      <c r="O71" s="80"/>
      <c r="P71" s="80"/>
    </row>
    <row r="72" ht="15.75" customHeight="1">
      <c r="C72" s="79"/>
      <c r="O72" s="80"/>
      <c r="P72" s="80"/>
    </row>
    <row r="73" ht="15.75" customHeight="1">
      <c r="C73" s="79"/>
      <c r="O73" s="80"/>
      <c r="P73" s="80"/>
    </row>
    <row r="74" ht="15.75" customHeight="1">
      <c r="C74" s="79"/>
      <c r="O74" s="80"/>
      <c r="P74" s="80"/>
    </row>
    <row r="75" ht="15.75" customHeight="1">
      <c r="C75" s="79"/>
      <c r="O75" s="80"/>
      <c r="P75" s="80"/>
    </row>
    <row r="76" ht="15.75" customHeight="1">
      <c r="C76" s="79"/>
      <c r="O76" s="80"/>
      <c r="P76" s="80"/>
    </row>
    <row r="77" ht="15.75" customHeight="1">
      <c r="C77" s="79"/>
      <c r="O77" s="80"/>
      <c r="P77" s="80"/>
    </row>
    <row r="78" ht="15.75" customHeight="1">
      <c r="C78" s="79"/>
      <c r="O78" s="80"/>
      <c r="P78" s="80"/>
    </row>
    <row r="79" ht="15.75" customHeight="1">
      <c r="C79" s="79"/>
      <c r="O79" s="80"/>
      <c r="P79" s="80"/>
    </row>
    <row r="80" ht="15.75" customHeight="1">
      <c r="C80" s="79"/>
      <c r="O80" s="80"/>
      <c r="P80" s="80"/>
    </row>
    <row r="81" ht="15.75" customHeight="1">
      <c r="C81" s="79"/>
      <c r="O81" s="80"/>
      <c r="P81" s="80"/>
    </row>
    <row r="82" ht="15.75" customHeight="1">
      <c r="C82" s="79"/>
      <c r="O82" s="80"/>
      <c r="P82" s="80"/>
    </row>
    <row r="83" ht="15.75" customHeight="1">
      <c r="C83" s="79"/>
      <c r="O83" s="80"/>
      <c r="P83" s="80"/>
    </row>
    <row r="84" ht="15.75" customHeight="1">
      <c r="C84" s="79"/>
      <c r="O84" s="80"/>
      <c r="P84" s="80"/>
    </row>
    <row r="85" ht="15.75" customHeight="1">
      <c r="C85" s="79"/>
      <c r="O85" s="80"/>
      <c r="P85" s="80"/>
    </row>
    <row r="86" ht="15.75" customHeight="1">
      <c r="C86" s="79"/>
      <c r="O86" s="80"/>
      <c r="P86" s="80"/>
    </row>
    <row r="87" ht="15.75" customHeight="1">
      <c r="C87" s="79"/>
      <c r="O87" s="80"/>
      <c r="P87" s="80"/>
    </row>
    <row r="88" ht="15.75" customHeight="1">
      <c r="C88" s="79"/>
      <c r="O88" s="80"/>
      <c r="P88" s="80"/>
    </row>
    <row r="89" ht="15.75" customHeight="1">
      <c r="C89" s="79"/>
      <c r="O89" s="80"/>
      <c r="P89" s="80"/>
    </row>
    <row r="90" ht="15.75" customHeight="1">
      <c r="C90" s="79"/>
      <c r="O90" s="80"/>
      <c r="P90" s="80"/>
    </row>
    <row r="91" ht="15.75" customHeight="1">
      <c r="C91" s="79"/>
      <c r="O91" s="80"/>
      <c r="P91" s="80"/>
    </row>
    <row r="92" ht="15.75" customHeight="1">
      <c r="C92" s="79"/>
      <c r="O92" s="80"/>
      <c r="P92" s="80"/>
    </row>
    <row r="93" ht="15.75" customHeight="1">
      <c r="C93" s="79"/>
      <c r="O93" s="80"/>
      <c r="P93" s="80"/>
    </row>
    <row r="94" ht="15.75" customHeight="1">
      <c r="C94" s="79"/>
      <c r="O94" s="80"/>
      <c r="P94" s="80"/>
    </row>
    <row r="95" ht="15.75" customHeight="1">
      <c r="C95" s="79"/>
      <c r="O95" s="80"/>
      <c r="P95" s="80"/>
    </row>
    <row r="96" ht="15.75" customHeight="1">
      <c r="C96" s="79"/>
      <c r="O96" s="80"/>
      <c r="P96" s="80"/>
    </row>
    <row r="97" ht="15.75" customHeight="1">
      <c r="C97" s="79"/>
      <c r="O97" s="80"/>
      <c r="P97" s="80"/>
    </row>
    <row r="98" ht="15.75" customHeight="1">
      <c r="C98" s="79"/>
      <c r="O98" s="80"/>
      <c r="P98" s="80"/>
    </row>
    <row r="99" ht="15.75" customHeight="1">
      <c r="C99" s="79"/>
      <c r="O99" s="80"/>
      <c r="P99" s="80"/>
    </row>
    <row r="100" ht="15.75" customHeight="1">
      <c r="C100" s="79"/>
      <c r="O100" s="80"/>
      <c r="P100" s="80"/>
    </row>
    <row r="101" ht="15.75" customHeight="1">
      <c r="C101" s="79"/>
      <c r="O101" s="80"/>
      <c r="P101" s="80"/>
    </row>
    <row r="102" ht="15.75" customHeight="1">
      <c r="C102" s="79"/>
      <c r="O102" s="80"/>
      <c r="P102" s="80"/>
    </row>
    <row r="103" ht="15.75" customHeight="1">
      <c r="C103" s="79"/>
      <c r="O103" s="80"/>
      <c r="P103" s="80"/>
    </row>
    <row r="104" ht="15.75" customHeight="1">
      <c r="C104" s="79"/>
      <c r="O104" s="80"/>
      <c r="P104" s="80"/>
    </row>
    <row r="105" ht="15.75" customHeight="1">
      <c r="C105" s="79"/>
      <c r="O105" s="80"/>
      <c r="P105" s="80"/>
    </row>
    <row r="106" ht="15.75" customHeight="1">
      <c r="C106" s="79"/>
      <c r="O106" s="80"/>
      <c r="P106" s="80"/>
    </row>
    <row r="107" ht="15.75" customHeight="1">
      <c r="C107" s="79"/>
      <c r="O107" s="80"/>
      <c r="P107" s="80"/>
    </row>
    <row r="108" ht="15.75" customHeight="1">
      <c r="C108" s="79"/>
      <c r="O108" s="80"/>
      <c r="P108" s="80"/>
    </row>
    <row r="109" ht="15.75" customHeight="1">
      <c r="C109" s="79"/>
      <c r="O109" s="80"/>
      <c r="P109" s="80"/>
    </row>
    <row r="110" ht="15.75" customHeight="1">
      <c r="C110" s="79"/>
      <c r="O110" s="80"/>
      <c r="P110" s="80"/>
    </row>
    <row r="111" ht="15.75" customHeight="1">
      <c r="C111" s="79"/>
      <c r="O111" s="80"/>
      <c r="P111" s="80"/>
    </row>
    <row r="112" ht="15.75" customHeight="1">
      <c r="C112" s="79"/>
      <c r="O112" s="80"/>
      <c r="P112" s="80"/>
    </row>
    <row r="113" ht="15.75" customHeight="1">
      <c r="C113" s="79"/>
      <c r="O113" s="80"/>
      <c r="P113" s="80"/>
    </row>
    <row r="114" ht="15.75" customHeight="1">
      <c r="C114" s="79"/>
      <c r="O114" s="80"/>
      <c r="P114" s="80"/>
    </row>
    <row r="115" ht="15.75" customHeight="1">
      <c r="C115" s="79"/>
      <c r="O115" s="80"/>
      <c r="P115" s="80"/>
    </row>
    <row r="116" ht="15.75" customHeight="1">
      <c r="C116" s="79"/>
      <c r="O116" s="80"/>
      <c r="P116" s="80"/>
    </row>
    <row r="117" ht="15.75" customHeight="1">
      <c r="C117" s="79"/>
      <c r="O117" s="80"/>
      <c r="P117" s="80"/>
    </row>
    <row r="118" ht="15.75" customHeight="1">
      <c r="C118" s="79"/>
      <c r="O118" s="80"/>
      <c r="P118" s="80"/>
    </row>
    <row r="119" ht="15.75" customHeight="1">
      <c r="C119" s="79"/>
      <c r="O119" s="80"/>
      <c r="P119" s="80"/>
    </row>
    <row r="120" ht="15.75" customHeight="1">
      <c r="C120" s="79"/>
      <c r="O120" s="80"/>
      <c r="P120" s="80"/>
    </row>
    <row r="121" ht="15.75" customHeight="1">
      <c r="C121" s="79"/>
      <c r="O121" s="80"/>
      <c r="P121" s="80"/>
    </row>
    <row r="122" ht="15.75" customHeight="1">
      <c r="C122" s="79"/>
      <c r="O122" s="80"/>
      <c r="P122" s="80"/>
    </row>
    <row r="123" ht="15.75" customHeight="1">
      <c r="C123" s="79"/>
      <c r="O123" s="80"/>
      <c r="P123" s="80"/>
    </row>
    <row r="124" ht="15.75" customHeight="1">
      <c r="C124" s="79"/>
      <c r="O124" s="80"/>
      <c r="P124" s="80"/>
    </row>
    <row r="125" ht="15.75" customHeight="1">
      <c r="C125" s="79"/>
      <c r="O125" s="80"/>
      <c r="P125" s="80"/>
    </row>
    <row r="126" ht="15.75" customHeight="1">
      <c r="C126" s="79"/>
      <c r="O126" s="80"/>
      <c r="P126" s="80"/>
    </row>
    <row r="127" ht="15.75" customHeight="1">
      <c r="C127" s="79"/>
      <c r="O127" s="80"/>
      <c r="P127" s="80"/>
    </row>
    <row r="128" ht="15.75" customHeight="1">
      <c r="C128" s="79"/>
      <c r="O128" s="80"/>
      <c r="P128" s="80"/>
    </row>
    <row r="129" ht="15.75" customHeight="1">
      <c r="C129" s="79"/>
      <c r="O129" s="80"/>
      <c r="P129" s="80"/>
    </row>
    <row r="130" ht="15.75" customHeight="1">
      <c r="C130" s="79"/>
      <c r="O130" s="80"/>
      <c r="P130" s="80"/>
    </row>
    <row r="131" ht="15.75" customHeight="1">
      <c r="C131" s="79"/>
      <c r="O131" s="80"/>
      <c r="P131" s="80"/>
    </row>
    <row r="132" ht="15.75" customHeight="1">
      <c r="C132" s="79"/>
      <c r="O132" s="80"/>
      <c r="P132" s="80"/>
    </row>
    <row r="133" ht="15.75" customHeight="1">
      <c r="C133" s="79"/>
      <c r="O133" s="80"/>
      <c r="P133" s="80"/>
    </row>
    <row r="134" ht="15.75" customHeight="1">
      <c r="C134" s="79"/>
      <c r="O134" s="80"/>
      <c r="P134" s="80"/>
    </row>
    <row r="135" ht="15.75" customHeight="1">
      <c r="C135" s="79"/>
      <c r="O135" s="80"/>
      <c r="P135" s="80"/>
    </row>
    <row r="136" ht="15.75" customHeight="1">
      <c r="C136" s="79"/>
      <c r="O136" s="80"/>
      <c r="P136" s="80"/>
    </row>
    <row r="137" ht="15.75" customHeight="1">
      <c r="C137" s="79"/>
      <c r="O137" s="80"/>
      <c r="P137" s="80"/>
    </row>
    <row r="138" ht="15.75" customHeight="1">
      <c r="C138" s="79"/>
      <c r="O138" s="80"/>
      <c r="P138" s="80"/>
    </row>
    <row r="139" ht="15.75" customHeight="1">
      <c r="C139" s="79"/>
      <c r="O139" s="80"/>
      <c r="P139" s="80"/>
    </row>
    <row r="140" ht="15.75" customHeight="1">
      <c r="C140" s="79"/>
      <c r="O140" s="80"/>
      <c r="P140" s="80"/>
    </row>
    <row r="141" ht="15.75" customHeight="1">
      <c r="C141" s="79"/>
      <c r="O141" s="80"/>
      <c r="P141" s="80"/>
    </row>
    <row r="142" ht="15.75" customHeight="1">
      <c r="C142" s="79"/>
      <c r="O142" s="80"/>
      <c r="P142" s="80"/>
    </row>
    <row r="143" ht="15.75" customHeight="1">
      <c r="C143" s="79"/>
      <c r="O143" s="80"/>
      <c r="P143" s="80"/>
    </row>
    <row r="144" ht="15.75" customHeight="1">
      <c r="C144" s="79"/>
      <c r="O144" s="80"/>
      <c r="P144" s="80"/>
    </row>
    <row r="145" ht="15.75" customHeight="1">
      <c r="C145" s="79"/>
      <c r="O145" s="80"/>
      <c r="P145" s="80"/>
    </row>
    <row r="146" ht="15.75" customHeight="1">
      <c r="C146" s="79"/>
      <c r="O146" s="80"/>
      <c r="P146" s="80"/>
    </row>
    <row r="147" ht="15.75" customHeight="1">
      <c r="C147" s="79"/>
      <c r="O147" s="80"/>
      <c r="P147" s="80"/>
    </row>
    <row r="148" ht="15.75" customHeight="1">
      <c r="C148" s="79"/>
      <c r="O148" s="80"/>
      <c r="P148" s="80"/>
    </row>
    <row r="149" ht="15.75" customHeight="1">
      <c r="C149" s="79"/>
      <c r="O149" s="80"/>
      <c r="P149" s="80"/>
    </row>
    <row r="150" ht="15.75" customHeight="1">
      <c r="C150" s="79"/>
      <c r="O150" s="80"/>
      <c r="P150" s="80"/>
    </row>
    <row r="151" ht="15.75" customHeight="1">
      <c r="C151" s="79"/>
      <c r="O151" s="80"/>
      <c r="P151" s="80"/>
    </row>
    <row r="152" ht="15.75" customHeight="1">
      <c r="C152" s="79"/>
      <c r="O152" s="80"/>
      <c r="P152" s="80"/>
    </row>
    <row r="153" ht="15.75" customHeight="1">
      <c r="C153" s="79"/>
      <c r="O153" s="80"/>
      <c r="P153" s="80"/>
    </row>
    <row r="154" ht="15.75" customHeight="1">
      <c r="C154" s="79"/>
      <c r="O154" s="80"/>
      <c r="P154" s="80"/>
    </row>
    <row r="155" ht="15.75" customHeight="1">
      <c r="C155" s="79"/>
      <c r="O155" s="80"/>
      <c r="P155" s="80"/>
    </row>
    <row r="156" ht="15.75" customHeight="1">
      <c r="C156" s="79"/>
      <c r="O156" s="80"/>
      <c r="P156" s="80"/>
    </row>
    <row r="157" ht="15.75" customHeight="1">
      <c r="C157" s="79"/>
      <c r="O157" s="80"/>
      <c r="P157" s="80"/>
    </row>
    <row r="158" ht="15.75" customHeight="1">
      <c r="C158" s="79"/>
      <c r="O158" s="80"/>
      <c r="P158" s="80"/>
    </row>
    <row r="159" ht="15.75" customHeight="1">
      <c r="C159" s="79"/>
      <c r="O159" s="80"/>
      <c r="P159" s="80"/>
    </row>
    <row r="160" ht="15.75" customHeight="1">
      <c r="C160" s="79"/>
      <c r="O160" s="80"/>
      <c r="P160" s="80"/>
    </row>
    <row r="161" ht="15.75" customHeight="1">
      <c r="C161" s="79"/>
      <c r="O161" s="80"/>
      <c r="P161" s="80"/>
    </row>
    <row r="162" ht="15.75" customHeight="1">
      <c r="C162" s="79"/>
      <c r="O162" s="80"/>
      <c r="P162" s="80"/>
    </row>
    <row r="163" ht="15.75" customHeight="1">
      <c r="C163" s="79"/>
      <c r="O163" s="80"/>
      <c r="P163" s="80"/>
    </row>
    <row r="164" ht="15.75" customHeight="1">
      <c r="C164" s="79"/>
      <c r="O164" s="80"/>
      <c r="P164" s="80"/>
    </row>
    <row r="165" ht="15.75" customHeight="1">
      <c r="C165" s="79"/>
      <c r="O165" s="80"/>
      <c r="P165" s="80"/>
    </row>
    <row r="166" ht="15.75" customHeight="1">
      <c r="C166" s="79"/>
      <c r="O166" s="80"/>
      <c r="P166" s="80"/>
    </row>
    <row r="167" ht="15.75" customHeight="1">
      <c r="C167" s="79"/>
      <c r="O167" s="80"/>
      <c r="P167" s="80"/>
    </row>
    <row r="168" ht="15.75" customHeight="1">
      <c r="C168" s="79"/>
      <c r="O168" s="80"/>
      <c r="P168" s="80"/>
    </row>
    <row r="169" ht="15.75" customHeight="1">
      <c r="C169" s="79"/>
      <c r="O169" s="80"/>
      <c r="P169" s="80"/>
    </row>
    <row r="170" ht="15.75" customHeight="1">
      <c r="C170" s="79"/>
      <c r="O170" s="80"/>
      <c r="P170" s="80"/>
    </row>
    <row r="171" ht="15.75" customHeight="1">
      <c r="C171" s="79"/>
      <c r="O171" s="80"/>
      <c r="P171" s="80"/>
    </row>
    <row r="172" ht="15.75" customHeight="1">
      <c r="C172" s="79"/>
      <c r="O172" s="80"/>
      <c r="P172" s="80"/>
    </row>
    <row r="173" ht="15.75" customHeight="1">
      <c r="C173" s="79"/>
      <c r="O173" s="80"/>
      <c r="P173" s="80"/>
    </row>
    <row r="174" ht="15.75" customHeight="1">
      <c r="C174" s="79"/>
      <c r="O174" s="80"/>
      <c r="P174" s="80"/>
    </row>
    <row r="175" ht="15.75" customHeight="1">
      <c r="C175" s="79"/>
      <c r="O175" s="80"/>
      <c r="P175" s="80"/>
    </row>
    <row r="176" ht="15.75" customHeight="1">
      <c r="C176" s="79"/>
      <c r="O176" s="80"/>
      <c r="P176" s="80"/>
    </row>
    <row r="177" ht="15.75" customHeight="1">
      <c r="C177" s="79"/>
      <c r="O177" s="80"/>
      <c r="P177" s="80"/>
    </row>
    <row r="178" ht="15.75" customHeight="1">
      <c r="C178" s="79"/>
      <c r="O178" s="80"/>
      <c r="P178" s="80"/>
    </row>
    <row r="179" ht="15.75" customHeight="1">
      <c r="C179" s="79"/>
      <c r="O179" s="80"/>
      <c r="P179" s="80"/>
    </row>
    <row r="180" ht="15.75" customHeight="1">
      <c r="C180" s="79"/>
      <c r="O180" s="80"/>
      <c r="P180" s="80"/>
    </row>
    <row r="181" ht="15.75" customHeight="1">
      <c r="C181" s="79"/>
      <c r="O181" s="80"/>
      <c r="P181" s="80"/>
    </row>
    <row r="182" ht="15.75" customHeight="1">
      <c r="C182" s="79"/>
      <c r="O182" s="80"/>
      <c r="P182" s="80"/>
    </row>
    <row r="183" ht="15.75" customHeight="1">
      <c r="C183" s="79"/>
      <c r="O183" s="80"/>
      <c r="P183" s="80"/>
    </row>
    <row r="184" ht="15.75" customHeight="1">
      <c r="C184" s="79"/>
      <c r="O184" s="80"/>
      <c r="P184" s="80"/>
    </row>
    <row r="185" ht="15.75" customHeight="1">
      <c r="C185" s="79"/>
      <c r="O185" s="80"/>
      <c r="P185" s="80"/>
    </row>
    <row r="186" ht="15.75" customHeight="1">
      <c r="C186" s="79"/>
      <c r="O186" s="80"/>
      <c r="P186" s="80"/>
    </row>
    <row r="187" ht="15.75" customHeight="1">
      <c r="C187" s="79"/>
      <c r="O187" s="80"/>
      <c r="P187" s="80"/>
    </row>
    <row r="188" ht="15.75" customHeight="1">
      <c r="C188" s="79"/>
      <c r="O188" s="80"/>
      <c r="P188" s="80"/>
    </row>
    <row r="189" ht="15.75" customHeight="1">
      <c r="C189" s="79"/>
      <c r="O189" s="80"/>
      <c r="P189" s="80"/>
    </row>
    <row r="190" ht="15.75" customHeight="1">
      <c r="C190" s="79"/>
      <c r="O190" s="80"/>
      <c r="P190" s="80"/>
    </row>
    <row r="191" ht="15.75" customHeight="1">
      <c r="C191" s="79"/>
      <c r="O191" s="80"/>
      <c r="P191" s="80"/>
    </row>
    <row r="192" ht="15.75" customHeight="1">
      <c r="C192" s="79"/>
      <c r="O192" s="80"/>
      <c r="P192" s="80"/>
    </row>
    <row r="193" ht="15.75" customHeight="1">
      <c r="C193" s="79"/>
      <c r="O193" s="80"/>
      <c r="P193" s="80"/>
    </row>
    <row r="194" ht="15.75" customHeight="1">
      <c r="C194" s="79"/>
      <c r="O194" s="80"/>
      <c r="P194" s="80"/>
    </row>
    <row r="195" ht="15.75" customHeight="1">
      <c r="C195" s="79"/>
      <c r="O195" s="80"/>
      <c r="P195" s="80"/>
    </row>
    <row r="196" ht="15.75" customHeight="1">
      <c r="C196" s="79"/>
      <c r="O196" s="80"/>
      <c r="P196" s="80"/>
    </row>
    <row r="197" ht="15.75" customHeight="1">
      <c r="C197" s="79"/>
      <c r="O197" s="80"/>
      <c r="P197" s="80"/>
    </row>
    <row r="198" ht="15.75" customHeight="1">
      <c r="C198" s="79"/>
      <c r="O198" s="80"/>
      <c r="P198" s="80"/>
    </row>
    <row r="199" ht="15.75" customHeight="1">
      <c r="C199" s="79"/>
      <c r="O199" s="80"/>
      <c r="P199" s="80"/>
    </row>
    <row r="200" ht="15.75" customHeight="1">
      <c r="C200" s="79"/>
      <c r="O200" s="80"/>
      <c r="P200" s="80"/>
    </row>
    <row r="201" ht="15.75" customHeight="1">
      <c r="C201" s="79"/>
      <c r="O201" s="80"/>
      <c r="P201" s="80"/>
    </row>
    <row r="202" ht="15.75" customHeight="1">
      <c r="C202" s="79"/>
      <c r="O202" s="80"/>
      <c r="P202" s="80"/>
    </row>
    <row r="203" ht="15.75" customHeight="1">
      <c r="C203" s="79"/>
      <c r="O203" s="80"/>
      <c r="P203" s="80"/>
    </row>
    <row r="204" ht="15.75" customHeight="1">
      <c r="C204" s="79"/>
      <c r="O204" s="80"/>
      <c r="P204" s="80"/>
    </row>
    <row r="205" ht="15.75" customHeight="1">
      <c r="C205" s="79"/>
      <c r="O205" s="80"/>
      <c r="P205" s="80"/>
    </row>
    <row r="206" ht="15.75" customHeight="1">
      <c r="C206" s="79"/>
      <c r="O206" s="80"/>
      <c r="P206" s="80"/>
    </row>
    <row r="207" ht="15.75" customHeight="1">
      <c r="C207" s="79"/>
      <c r="O207" s="80"/>
      <c r="P207" s="80"/>
    </row>
    <row r="208" ht="15.75" customHeight="1">
      <c r="C208" s="79"/>
      <c r="O208" s="80"/>
      <c r="P208" s="80"/>
    </row>
    <row r="209" ht="15.75" customHeight="1">
      <c r="C209" s="79"/>
      <c r="O209" s="80"/>
      <c r="P209" s="80"/>
    </row>
    <row r="210" ht="15.75" customHeight="1">
      <c r="C210" s="79"/>
      <c r="O210" s="80"/>
      <c r="P210" s="80"/>
    </row>
    <row r="211" ht="15.75" customHeight="1">
      <c r="C211" s="79"/>
      <c r="O211" s="80"/>
      <c r="P211" s="80"/>
    </row>
    <row r="212" ht="15.75" customHeight="1">
      <c r="C212" s="79"/>
      <c r="O212" s="80"/>
      <c r="P212" s="80"/>
    </row>
    <row r="213" ht="15.75" customHeight="1">
      <c r="C213" s="79"/>
      <c r="O213" s="80"/>
      <c r="P213" s="80"/>
    </row>
    <row r="214" ht="15.75" customHeight="1">
      <c r="C214" s="79"/>
      <c r="O214" s="80"/>
      <c r="P214" s="80"/>
    </row>
    <row r="215" ht="15.75" customHeight="1">
      <c r="C215" s="79"/>
      <c r="O215" s="80"/>
      <c r="P215" s="80"/>
    </row>
    <row r="216" ht="15.75" customHeight="1">
      <c r="C216" s="79"/>
      <c r="O216" s="80"/>
      <c r="P216" s="80"/>
    </row>
    <row r="217" ht="15.75" customHeight="1">
      <c r="C217" s="79"/>
      <c r="O217" s="80"/>
      <c r="P217" s="80"/>
    </row>
    <row r="218" ht="15.75" customHeight="1">
      <c r="C218" s="79"/>
      <c r="O218" s="80"/>
      <c r="P218" s="80"/>
    </row>
    <row r="219" ht="15.75" customHeight="1">
      <c r="C219" s="79"/>
      <c r="O219" s="80"/>
      <c r="P219" s="80"/>
    </row>
    <row r="220" ht="15.75" customHeight="1">
      <c r="C220" s="79"/>
      <c r="O220" s="80"/>
      <c r="P220" s="80"/>
    </row>
    <row r="221" ht="15.75" customHeight="1">
      <c r="C221" s="79"/>
      <c r="O221" s="80"/>
      <c r="P221" s="80"/>
    </row>
    <row r="222" ht="15.75" customHeight="1">
      <c r="C222" s="79"/>
      <c r="O222" s="80"/>
      <c r="P222" s="80"/>
    </row>
    <row r="223" ht="15.75" customHeight="1">
      <c r="C223" s="79"/>
      <c r="O223" s="80"/>
      <c r="P223" s="80"/>
    </row>
    <row r="224" ht="15.75" customHeight="1">
      <c r="C224" s="79"/>
      <c r="O224" s="80"/>
      <c r="P224" s="80"/>
    </row>
    <row r="225" ht="15.75" customHeight="1">
      <c r="C225" s="79"/>
      <c r="O225" s="80"/>
      <c r="P225" s="80"/>
    </row>
    <row r="226" ht="15.75" customHeight="1">
      <c r="C226" s="79"/>
      <c r="O226" s="80"/>
      <c r="P226" s="80"/>
    </row>
    <row r="227" ht="15.75" customHeight="1">
      <c r="C227" s="79"/>
      <c r="O227" s="80"/>
      <c r="P227" s="80"/>
    </row>
    <row r="228" ht="15.75" customHeight="1">
      <c r="C228" s="79"/>
      <c r="O228" s="80"/>
      <c r="P228" s="80"/>
    </row>
    <row r="229" ht="15.75" customHeight="1">
      <c r="C229" s="79"/>
      <c r="O229" s="80"/>
      <c r="P229" s="80"/>
    </row>
    <row r="230" ht="15.75" customHeight="1">
      <c r="C230" s="79"/>
      <c r="O230" s="80"/>
      <c r="P230" s="80"/>
    </row>
    <row r="231" ht="15.75" customHeight="1">
      <c r="C231" s="79"/>
      <c r="O231" s="80"/>
      <c r="P231" s="80"/>
    </row>
    <row r="232" ht="15.75" customHeight="1">
      <c r="C232" s="79"/>
      <c r="O232" s="80"/>
      <c r="P232" s="80"/>
    </row>
    <row r="233" ht="15.75" customHeight="1">
      <c r="C233" s="79"/>
      <c r="O233" s="80"/>
      <c r="P233" s="80"/>
    </row>
    <row r="234" ht="15.75" customHeight="1">
      <c r="C234" s="79"/>
      <c r="O234" s="80"/>
      <c r="P234" s="80"/>
    </row>
    <row r="235" ht="15.75" customHeight="1">
      <c r="C235" s="79"/>
      <c r="O235" s="80"/>
      <c r="P235" s="80"/>
    </row>
    <row r="236" ht="15.75" customHeight="1">
      <c r="C236" s="79"/>
      <c r="O236" s="80"/>
      <c r="P236" s="80"/>
    </row>
    <row r="237" ht="15.75" customHeight="1">
      <c r="C237" s="79"/>
      <c r="O237" s="80"/>
      <c r="P237" s="80"/>
    </row>
    <row r="238" ht="15.75" customHeight="1">
      <c r="C238" s="79"/>
      <c r="O238" s="80"/>
      <c r="P238" s="80"/>
    </row>
    <row r="239" ht="15.75" customHeight="1">
      <c r="C239" s="79"/>
      <c r="O239" s="80"/>
      <c r="P239" s="80"/>
    </row>
    <row r="240" ht="15.75" customHeight="1">
      <c r="C240" s="79"/>
      <c r="O240" s="80"/>
      <c r="P240" s="80"/>
    </row>
    <row r="241" ht="15.75" customHeight="1">
      <c r="C241" s="79"/>
      <c r="O241" s="80"/>
      <c r="P241" s="80"/>
    </row>
    <row r="242" ht="15.75" customHeight="1">
      <c r="C242" s="79"/>
      <c r="O242" s="80"/>
      <c r="P242" s="80"/>
    </row>
    <row r="243" ht="15.75" customHeight="1">
      <c r="C243" s="79"/>
      <c r="O243" s="80"/>
      <c r="P243" s="80"/>
    </row>
    <row r="244" ht="15.75" customHeight="1">
      <c r="C244" s="79"/>
      <c r="O244" s="80"/>
      <c r="P244" s="80"/>
    </row>
    <row r="245" ht="15.75" customHeight="1">
      <c r="C245" s="79"/>
      <c r="O245" s="80"/>
      <c r="P245" s="80"/>
    </row>
    <row r="246" ht="15.75" customHeight="1">
      <c r="C246" s="79"/>
      <c r="O246" s="80"/>
      <c r="P246" s="80"/>
    </row>
    <row r="247" ht="15.75" customHeight="1">
      <c r="C247" s="79"/>
      <c r="O247" s="80"/>
      <c r="P247" s="80"/>
    </row>
    <row r="248" ht="15.75" customHeight="1">
      <c r="C248" s="79"/>
      <c r="O248" s="80"/>
      <c r="P248" s="80"/>
    </row>
    <row r="249" ht="15.75" customHeight="1">
      <c r="C249" s="79"/>
      <c r="O249" s="80"/>
      <c r="P249" s="80"/>
    </row>
    <row r="250" ht="15.75" customHeight="1">
      <c r="C250" s="79"/>
      <c r="O250" s="80"/>
      <c r="P250" s="80"/>
    </row>
    <row r="251" ht="15.75" customHeight="1">
      <c r="C251" s="79"/>
      <c r="O251" s="80"/>
      <c r="P251" s="80"/>
    </row>
    <row r="252" ht="15.75" customHeight="1">
      <c r="C252" s="79"/>
      <c r="O252" s="80"/>
      <c r="P252" s="80"/>
    </row>
    <row r="253" ht="15.75" customHeight="1">
      <c r="C253" s="79"/>
      <c r="O253" s="80"/>
      <c r="P253" s="80"/>
    </row>
    <row r="254" ht="15.75" customHeight="1">
      <c r="C254" s="79"/>
      <c r="O254" s="80"/>
      <c r="P254" s="80"/>
    </row>
    <row r="255" ht="15.75" customHeight="1">
      <c r="C255" s="79"/>
      <c r="O255" s="80"/>
      <c r="P255" s="80"/>
    </row>
    <row r="256" ht="15.75" customHeight="1">
      <c r="C256" s="79"/>
      <c r="O256" s="80"/>
      <c r="P256" s="80"/>
    </row>
    <row r="257" ht="15.75" customHeight="1">
      <c r="C257" s="79"/>
      <c r="O257" s="80"/>
      <c r="P257" s="80"/>
    </row>
    <row r="258" ht="15.75" customHeight="1">
      <c r="C258" s="79"/>
      <c r="O258" s="80"/>
      <c r="P258" s="80"/>
    </row>
    <row r="259" ht="15.75" customHeight="1">
      <c r="C259" s="79"/>
      <c r="O259" s="80"/>
      <c r="P259" s="80"/>
    </row>
    <row r="260" ht="15.75" customHeight="1">
      <c r="C260" s="79"/>
      <c r="O260" s="80"/>
      <c r="P260" s="80"/>
    </row>
    <row r="261" ht="15.75" customHeight="1">
      <c r="C261" s="79"/>
      <c r="O261" s="80"/>
      <c r="P261" s="80"/>
    </row>
    <row r="262" ht="15.75" customHeight="1">
      <c r="C262" s="79"/>
      <c r="O262" s="80"/>
      <c r="P262" s="80"/>
    </row>
    <row r="263" ht="15.75" customHeight="1">
      <c r="C263" s="79"/>
      <c r="O263" s="80"/>
      <c r="P263" s="80"/>
    </row>
    <row r="264" ht="15.75" customHeight="1">
      <c r="C264" s="79"/>
      <c r="O264" s="80"/>
      <c r="P264" s="80"/>
    </row>
    <row r="265" ht="15.75" customHeight="1">
      <c r="C265" s="79"/>
      <c r="O265" s="80"/>
      <c r="P265" s="80"/>
    </row>
    <row r="266" ht="15.75" customHeight="1">
      <c r="C266" s="79"/>
      <c r="O266" s="80"/>
      <c r="P266" s="80"/>
    </row>
    <row r="267" ht="15.75" customHeight="1">
      <c r="C267" s="79"/>
      <c r="O267" s="80"/>
      <c r="P267" s="80"/>
    </row>
    <row r="268" ht="15.75" customHeight="1">
      <c r="C268" s="79"/>
      <c r="O268" s="80"/>
      <c r="P268" s="80"/>
    </row>
    <row r="269" ht="15.75" customHeight="1">
      <c r="C269" s="79"/>
      <c r="O269" s="80"/>
      <c r="P269" s="80"/>
    </row>
    <row r="270" ht="15.75" customHeight="1">
      <c r="C270" s="79"/>
      <c r="O270" s="80"/>
      <c r="P270" s="80"/>
    </row>
    <row r="271" ht="15.75" customHeight="1">
      <c r="C271" s="79"/>
      <c r="O271" s="80"/>
      <c r="P271" s="80"/>
    </row>
    <row r="272" ht="15.75" customHeight="1">
      <c r="C272" s="79"/>
      <c r="O272" s="80"/>
      <c r="P272" s="80"/>
    </row>
    <row r="273" ht="15.75" customHeight="1">
      <c r="C273" s="79"/>
      <c r="O273" s="80"/>
      <c r="P273" s="80"/>
    </row>
    <row r="274" ht="15.75" customHeight="1">
      <c r="C274" s="79"/>
      <c r="O274" s="80"/>
      <c r="P274" s="80"/>
    </row>
    <row r="275" ht="15.75" customHeight="1">
      <c r="C275" s="79"/>
      <c r="O275" s="80"/>
      <c r="P275" s="80"/>
    </row>
    <row r="276" ht="15.75" customHeight="1">
      <c r="C276" s="79"/>
      <c r="O276" s="80"/>
      <c r="P276" s="80"/>
    </row>
    <row r="277" ht="15.75" customHeight="1">
      <c r="C277" s="79"/>
      <c r="O277" s="80"/>
      <c r="P277" s="80"/>
    </row>
    <row r="278" ht="15.75" customHeight="1">
      <c r="C278" s="79"/>
      <c r="O278" s="80"/>
      <c r="P278" s="80"/>
    </row>
    <row r="279" ht="15.75" customHeight="1">
      <c r="C279" s="79"/>
      <c r="O279" s="80"/>
      <c r="P279" s="80"/>
    </row>
    <row r="280" ht="15.75" customHeight="1">
      <c r="C280" s="79"/>
      <c r="O280" s="80"/>
      <c r="P280" s="80"/>
    </row>
    <row r="281" ht="15.75" customHeight="1">
      <c r="C281" s="79"/>
      <c r="O281" s="80"/>
      <c r="P281" s="80"/>
    </row>
    <row r="282" ht="15.75" customHeight="1">
      <c r="C282" s="79"/>
      <c r="O282" s="80"/>
      <c r="P282" s="80"/>
    </row>
    <row r="283" ht="15.75" customHeight="1">
      <c r="C283" s="79"/>
      <c r="O283" s="80"/>
      <c r="P283" s="80"/>
    </row>
    <row r="284" ht="15.75" customHeight="1">
      <c r="C284" s="79"/>
      <c r="O284" s="80"/>
      <c r="P284" s="80"/>
    </row>
    <row r="285" ht="15.75" customHeight="1">
      <c r="C285" s="79"/>
      <c r="O285" s="80"/>
      <c r="P285" s="80"/>
    </row>
    <row r="286" ht="15.75" customHeight="1">
      <c r="C286" s="79"/>
      <c r="O286" s="80"/>
      <c r="P286" s="80"/>
    </row>
    <row r="287" ht="15.75" customHeight="1">
      <c r="C287" s="79"/>
      <c r="O287" s="80"/>
      <c r="P287" s="80"/>
    </row>
    <row r="288" ht="15.75" customHeight="1">
      <c r="C288" s="79"/>
      <c r="O288" s="80"/>
      <c r="P288" s="80"/>
    </row>
    <row r="289" ht="15.75" customHeight="1">
      <c r="C289" s="79"/>
      <c r="O289" s="80"/>
      <c r="P289" s="80"/>
    </row>
    <row r="290" ht="15.75" customHeight="1">
      <c r="C290" s="79"/>
      <c r="O290" s="80"/>
      <c r="P290" s="80"/>
    </row>
    <row r="291" ht="15.75" customHeight="1">
      <c r="C291" s="79"/>
      <c r="O291" s="80"/>
      <c r="P291" s="80"/>
    </row>
    <row r="292" ht="15.75" customHeight="1">
      <c r="C292" s="79"/>
      <c r="O292" s="80"/>
      <c r="P292" s="80"/>
    </row>
    <row r="293" ht="15.75" customHeight="1">
      <c r="C293" s="79"/>
      <c r="O293" s="80"/>
      <c r="P293" s="80"/>
    </row>
    <row r="294" ht="15.75" customHeight="1">
      <c r="C294" s="79"/>
      <c r="O294" s="80"/>
      <c r="P294" s="80"/>
    </row>
    <row r="295" ht="15.75" customHeight="1">
      <c r="C295" s="79"/>
      <c r="O295" s="80"/>
      <c r="P295" s="80"/>
    </row>
    <row r="296" ht="15.75" customHeight="1">
      <c r="C296" s="79"/>
      <c r="O296" s="80"/>
      <c r="P296" s="80"/>
    </row>
    <row r="297" ht="15.75" customHeight="1">
      <c r="C297" s="79"/>
      <c r="O297" s="80"/>
      <c r="P297" s="80"/>
    </row>
    <row r="298" ht="15.75" customHeight="1">
      <c r="C298" s="79"/>
      <c r="O298" s="80"/>
      <c r="P298" s="80"/>
    </row>
    <row r="299" ht="15.75" customHeight="1">
      <c r="C299" s="79"/>
      <c r="O299" s="80"/>
      <c r="P299" s="80"/>
    </row>
    <row r="300" ht="15.75" customHeight="1">
      <c r="C300" s="79"/>
      <c r="O300" s="80"/>
      <c r="P300" s="80"/>
    </row>
    <row r="301" ht="15.75" customHeight="1">
      <c r="C301" s="79"/>
      <c r="O301" s="80"/>
      <c r="P301" s="80"/>
    </row>
    <row r="302" ht="15.75" customHeight="1">
      <c r="C302" s="79"/>
      <c r="O302" s="80"/>
      <c r="P302" s="80"/>
    </row>
    <row r="303" ht="15.75" customHeight="1">
      <c r="C303" s="79"/>
      <c r="O303" s="80"/>
      <c r="P303" s="80"/>
    </row>
    <row r="304" ht="15.75" customHeight="1">
      <c r="C304" s="79"/>
      <c r="O304" s="80"/>
      <c r="P304" s="80"/>
    </row>
    <row r="305" ht="15.75" customHeight="1">
      <c r="C305" s="79"/>
      <c r="O305" s="80"/>
      <c r="P305" s="80"/>
    </row>
    <row r="306" ht="15.75" customHeight="1">
      <c r="C306" s="79"/>
      <c r="O306" s="80"/>
      <c r="P306" s="80"/>
    </row>
    <row r="307" ht="15.75" customHeight="1">
      <c r="C307" s="79"/>
      <c r="O307" s="80"/>
      <c r="P307" s="80"/>
    </row>
    <row r="308" ht="15.75" customHeight="1">
      <c r="C308" s="79"/>
      <c r="O308" s="80"/>
      <c r="P308" s="80"/>
    </row>
    <row r="309" ht="15.75" customHeight="1">
      <c r="C309" s="79"/>
      <c r="O309" s="80"/>
      <c r="P309" s="80"/>
    </row>
    <row r="310" ht="15.75" customHeight="1">
      <c r="C310" s="79"/>
      <c r="O310" s="80"/>
      <c r="P310" s="80"/>
    </row>
    <row r="311" ht="15.75" customHeight="1">
      <c r="C311" s="79"/>
      <c r="O311" s="80"/>
      <c r="P311" s="80"/>
    </row>
    <row r="312" ht="15.75" customHeight="1">
      <c r="C312" s="79"/>
      <c r="O312" s="80"/>
      <c r="P312" s="80"/>
    </row>
    <row r="313" ht="15.75" customHeight="1">
      <c r="C313" s="79"/>
      <c r="O313" s="80"/>
      <c r="P313" s="80"/>
    </row>
    <row r="314" ht="15.75" customHeight="1">
      <c r="C314" s="79"/>
      <c r="O314" s="80"/>
      <c r="P314" s="80"/>
    </row>
    <row r="315" ht="15.75" customHeight="1">
      <c r="C315" s="79"/>
      <c r="O315" s="80"/>
      <c r="P315" s="80"/>
    </row>
    <row r="316" ht="15.75" customHeight="1">
      <c r="C316" s="79"/>
      <c r="O316" s="80"/>
      <c r="P316" s="80"/>
    </row>
    <row r="317" ht="15.75" customHeight="1">
      <c r="C317" s="79"/>
      <c r="O317" s="80"/>
      <c r="P317" s="80"/>
    </row>
    <row r="318" ht="15.75" customHeight="1">
      <c r="C318" s="79"/>
      <c r="O318" s="80"/>
      <c r="P318" s="80"/>
    </row>
    <row r="319" ht="15.75" customHeight="1">
      <c r="C319" s="79"/>
      <c r="O319" s="80"/>
      <c r="P319" s="80"/>
    </row>
    <row r="320" ht="15.75" customHeight="1">
      <c r="C320" s="79"/>
      <c r="O320" s="80"/>
      <c r="P320" s="80"/>
    </row>
    <row r="321" ht="15.75" customHeight="1">
      <c r="C321" s="79"/>
      <c r="O321" s="80"/>
      <c r="P321" s="80"/>
    </row>
    <row r="322" ht="15.75" customHeight="1">
      <c r="C322" s="79"/>
      <c r="O322" s="80"/>
      <c r="P322" s="80"/>
    </row>
    <row r="323" ht="15.75" customHeight="1">
      <c r="C323" s="79"/>
      <c r="O323" s="80"/>
      <c r="P323" s="80"/>
    </row>
    <row r="324" ht="15.75" customHeight="1">
      <c r="C324" s="79"/>
      <c r="O324" s="80"/>
      <c r="P324" s="80"/>
    </row>
    <row r="325" ht="15.75" customHeight="1">
      <c r="C325" s="79"/>
      <c r="O325" s="80"/>
      <c r="P325" s="80"/>
    </row>
    <row r="326" ht="15.75" customHeight="1">
      <c r="C326" s="79"/>
      <c r="O326" s="80"/>
      <c r="P326" s="80"/>
    </row>
    <row r="327" ht="15.75" customHeight="1">
      <c r="C327" s="79"/>
      <c r="O327" s="80"/>
      <c r="P327" s="80"/>
    </row>
    <row r="328" ht="15.75" customHeight="1">
      <c r="C328" s="79"/>
      <c r="O328" s="80"/>
      <c r="P328" s="80"/>
    </row>
    <row r="329" ht="15.75" customHeight="1">
      <c r="C329" s="79"/>
      <c r="O329" s="80"/>
      <c r="P329" s="80"/>
    </row>
    <row r="330" ht="15.75" customHeight="1">
      <c r="C330" s="79"/>
      <c r="O330" s="80"/>
      <c r="P330" s="80"/>
    </row>
    <row r="331" ht="15.75" customHeight="1">
      <c r="C331" s="79"/>
      <c r="O331" s="80"/>
      <c r="P331" s="80"/>
    </row>
    <row r="332" ht="15.75" customHeight="1">
      <c r="C332" s="79"/>
      <c r="O332" s="80"/>
      <c r="P332" s="80"/>
    </row>
    <row r="333" ht="15.75" customHeight="1">
      <c r="C333" s="79"/>
      <c r="O333" s="80"/>
      <c r="P333" s="80"/>
    </row>
    <row r="334" ht="15.75" customHeight="1">
      <c r="C334" s="79"/>
      <c r="O334" s="80"/>
      <c r="P334" s="80"/>
    </row>
    <row r="335" ht="15.75" customHeight="1">
      <c r="C335" s="79"/>
      <c r="O335" s="80"/>
      <c r="P335" s="80"/>
    </row>
    <row r="336" ht="15.75" customHeight="1">
      <c r="C336" s="79"/>
      <c r="O336" s="80"/>
      <c r="P336" s="80"/>
    </row>
    <row r="337" ht="15.75" customHeight="1">
      <c r="C337" s="79"/>
      <c r="O337" s="80"/>
      <c r="P337" s="80"/>
    </row>
    <row r="338" ht="15.75" customHeight="1">
      <c r="C338" s="79"/>
      <c r="O338" s="80"/>
      <c r="P338" s="80"/>
    </row>
    <row r="339" ht="15.75" customHeight="1">
      <c r="C339" s="79"/>
      <c r="O339" s="80"/>
      <c r="P339" s="80"/>
    </row>
    <row r="340" ht="15.75" customHeight="1">
      <c r="C340" s="79"/>
      <c r="O340" s="80"/>
      <c r="P340" s="80"/>
    </row>
    <row r="341" ht="15.75" customHeight="1">
      <c r="C341" s="79"/>
      <c r="O341" s="80"/>
      <c r="P341" s="80"/>
    </row>
    <row r="342" ht="15.75" customHeight="1">
      <c r="C342" s="79"/>
      <c r="O342" s="80"/>
      <c r="P342" s="80"/>
    </row>
    <row r="343" ht="15.75" customHeight="1">
      <c r="C343" s="79"/>
      <c r="O343" s="80"/>
      <c r="P343" s="80"/>
    </row>
    <row r="344" ht="15.75" customHeight="1">
      <c r="C344" s="79"/>
      <c r="O344" s="80"/>
      <c r="P344" s="80"/>
    </row>
    <row r="345" ht="15.75" customHeight="1">
      <c r="C345" s="79"/>
      <c r="O345" s="80"/>
      <c r="P345" s="80"/>
    </row>
    <row r="346" ht="15.75" customHeight="1">
      <c r="C346" s="79"/>
      <c r="O346" s="80"/>
      <c r="P346" s="80"/>
    </row>
    <row r="347" ht="15.75" customHeight="1">
      <c r="C347" s="79"/>
      <c r="O347" s="80"/>
      <c r="P347" s="80"/>
    </row>
    <row r="348" ht="15.75" customHeight="1">
      <c r="C348" s="79"/>
      <c r="O348" s="80"/>
      <c r="P348" s="80"/>
    </row>
    <row r="349" ht="15.75" customHeight="1">
      <c r="C349" s="79"/>
      <c r="O349" s="80"/>
      <c r="P349" s="80"/>
    </row>
    <row r="350" ht="15.75" customHeight="1">
      <c r="C350" s="79"/>
      <c r="O350" s="80"/>
      <c r="P350" s="80"/>
    </row>
    <row r="351" ht="15.75" customHeight="1">
      <c r="C351" s="79"/>
      <c r="O351" s="80"/>
      <c r="P351" s="80"/>
    </row>
    <row r="352" ht="15.75" customHeight="1">
      <c r="C352" s="79"/>
      <c r="O352" s="80"/>
      <c r="P352" s="80"/>
    </row>
    <row r="353" ht="15.75" customHeight="1">
      <c r="C353" s="79"/>
      <c r="O353" s="80"/>
      <c r="P353" s="80"/>
    </row>
    <row r="354" ht="15.75" customHeight="1">
      <c r="C354" s="79"/>
      <c r="O354" s="80"/>
      <c r="P354" s="80"/>
    </row>
    <row r="355" ht="15.75" customHeight="1">
      <c r="C355" s="79"/>
      <c r="O355" s="80"/>
      <c r="P355" s="80"/>
    </row>
    <row r="356" ht="15.75" customHeight="1">
      <c r="C356" s="79"/>
      <c r="O356" s="80"/>
      <c r="P356" s="80"/>
    </row>
    <row r="357" ht="15.75" customHeight="1">
      <c r="C357" s="79"/>
      <c r="O357" s="80"/>
      <c r="P357" s="80"/>
    </row>
    <row r="358" ht="15.75" customHeight="1">
      <c r="C358" s="79"/>
      <c r="O358" s="80"/>
      <c r="P358" s="80"/>
    </row>
    <row r="359" ht="15.75" customHeight="1">
      <c r="C359" s="79"/>
      <c r="O359" s="80"/>
      <c r="P359" s="80"/>
    </row>
    <row r="360" ht="15.75" customHeight="1">
      <c r="C360" s="79"/>
      <c r="O360" s="80"/>
      <c r="P360" s="80"/>
    </row>
    <row r="361" ht="15.75" customHeight="1">
      <c r="C361" s="79"/>
      <c r="O361" s="80"/>
      <c r="P361" s="80"/>
    </row>
    <row r="362" ht="15.75" customHeight="1">
      <c r="C362" s="79"/>
      <c r="O362" s="80"/>
      <c r="P362" s="80"/>
    </row>
    <row r="363" ht="15.75" customHeight="1">
      <c r="C363" s="79"/>
      <c r="O363" s="80"/>
      <c r="P363" s="80"/>
    </row>
    <row r="364" ht="15.75" customHeight="1">
      <c r="C364" s="79"/>
      <c r="O364" s="80"/>
      <c r="P364" s="80"/>
    </row>
    <row r="365" ht="15.75" customHeight="1">
      <c r="C365" s="79"/>
      <c r="O365" s="80"/>
      <c r="P365" s="80"/>
    </row>
    <row r="366" ht="15.75" customHeight="1">
      <c r="C366" s="79"/>
      <c r="O366" s="80"/>
      <c r="P366" s="80"/>
    </row>
    <row r="367" ht="15.75" customHeight="1">
      <c r="C367" s="79"/>
      <c r="O367" s="80"/>
      <c r="P367" s="80"/>
    </row>
    <row r="368" ht="15.75" customHeight="1">
      <c r="C368" s="79"/>
      <c r="O368" s="80"/>
      <c r="P368" s="80"/>
    </row>
    <row r="369" ht="15.75" customHeight="1">
      <c r="C369" s="79"/>
      <c r="O369" s="80"/>
      <c r="P369" s="80"/>
    </row>
    <row r="370" ht="15.75" customHeight="1">
      <c r="C370" s="79"/>
      <c r="O370" s="80"/>
      <c r="P370" s="80"/>
    </row>
    <row r="371" ht="15.75" customHeight="1">
      <c r="C371" s="79"/>
      <c r="O371" s="80"/>
      <c r="P371" s="80"/>
    </row>
    <row r="372" ht="15.75" customHeight="1">
      <c r="C372" s="79"/>
      <c r="O372" s="80"/>
      <c r="P372" s="80"/>
    </row>
    <row r="373" ht="15.75" customHeight="1">
      <c r="C373" s="79"/>
      <c r="O373" s="80"/>
      <c r="P373" s="80"/>
    </row>
    <row r="374" ht="15.75" customHeight="1">
      <c r="C374" s="79"/>
      <c r="O374" s="80"/>
      <c r="P374" s="80"/>
    </row>
    <row r="375" ht="15.75" customHeight="1">
      <c r="C375" s="79"/>
      <c r="O375" s="80"/>
      <c r="P375" s="80"/>
    </row>
    <row r="376" ht="15.75" customHeight="1">
      <c r="C376" s="79"/>
      <c r="O376" s="80"/>
      <c r="P376" s="80"/>
    </row>
    <row r="377" ht="15.75" customHeight="1">
      <c r="C377" s="79"/>
      <c r="O377" s="80"/>
      <c r="P377" s="80"/>
    </row>
    <row r="378" ht="15.75" customHeight="1">
      <c r="C378" s="79"/>
      <c r="O378" s="80"/>
      <c r="P378" s="80"/>
    </row>
    <row r="379" ht="15.75" customHeight="1">
      <c r="C379" s="79"/>
      <c r="O379" s="80"/>
      <c r="P379" s="80"/>
    </row>
    <row r="380" ht="15.75" customHeight="1">
      <c r="C380" s="79"/>
      <c r="O380" s="80"/>
      <c r="P380" s="80"/>
    </row>
    <row r="381" ht="15.75" customHeight="1">
      <c r="C381" s="79"/>
      <c r="O381" s="80"/>
      <c r="P381" s="80"/>
    </row>
    <row r="382" ht="15.75" customHeight="1">
      <c r="C382" s="79"/>
      <c r="O382" s="80"/>
      <c r="P382" s="80"/>
    </row>
    <row r="383" ht="15.75" customHeight="1">
      <c r="C383" s="79"/>
      <c r="O383" s="80"/>
      <c r="P383" s="80"/>
    </row>
    <row r="384" ht="15.75" customHeight="1">
      <c r="C384" s="79"/>
      <c r="O384" s="80"/>
      <c r="P384" s="80"/>
    </row>
    <row r="385" ht="15.75" customHeight="1">
      <c r="C385" s="79"/>
      <c r="O385" s="80"/>
      <c r="P385" s="80"/>
    </row>
    <row r="386" ht="15.75" customHeight="1">
      <c r="C386" s="79"/>
      <c r="O386" s="80"/>
      <c r="P386" s="80"/>
    </row>
    <row r="387" ht="15.75" customHeight="1">
      <c r="C387" s="79"/>
      <c r="O387" s="80"/>
      <c r="P387" s="80"/>
    </row>
    <row r="388" ht="15.75" customHeight="1">
      <c r="C388" s="79"/>
      <c r="O388" s="80"/>
      <c r="P388" s="80"/>
    </row>
    <row r="389" ht="15.75" customHeight="1">
      <c r="C389" s="79"/>
      <c r="O389" s="80"/>
      <c r="P389" s="80"/>
    </row>
    <row r="390" ht="15.75" customHeight="1">
      <c r="C390" s="79"/>
      <c r="O390" s="80"/>
      <c r="P390" s="80"/>
    </row>
    <row r="391" ht="15.75" customHeight="1">
      <c r="C391" s="79"/>
      <c r="O391" s="80"/>
      <c r="P391" s="80"/>
    </row>
    <row r="392" ht="15.75" customHeight="1">
      <c r="C392" s="79"/>
      <c r="O392" s="80"/>
      <c r="P392" s="80"/>
    </row>
    <row r="393" ht="15.75" customHeight="1">
      <c r="C393" s="79"/>
      <c r="O393" s="80"/>
      <c r="P393" s="80"/>
    </row>
    <row r="394" ht="15.75" customHeight="1">
      <c r="C394" s="79"/>
      <c r="O394" s="80"/>
      <c r="P394" s="80"/>
    </row>
    <row r="395" ht="15.75" customHeight="1">
      <c r="C395" s="79"/>
      <c r="O395" s="80"/>
      <c r="P395" s="80"/>
    </row>
    <row r="396" ht="15.75" customHeight="1">
      <c r="C396" s="79"/>
      <c r="O396" s="80"/>
      <c r="P396" s="80"/>
    </row>
    <row r="397" ht="15.75" customHeight="1">
      <c r="C397" s="79"/>
      <c r="O397" s="80"/>
      <c r="P397" s="80"/>
    </row>
    <row r="398" ht="15.75" customHeight="1">
      <c r="C398" s="79"/>
      <c r="O398" s="80"/>
      <c r="P398" s="80"/>
    </row>
    <row r="399" ht="15.75" customHeight="1">
      <c r="C399" s="79"/>
      <c r="O399" s="80"/>
      <c r="P399" s="80"/>
    </row>
    <row r="400" ht="15.75" customHeight="1">
      <c r="C400" s="79"/>
      <c r="O400" s="80"/>
      <c r="P400" s="80"/>
    </row>
    <row r="401" ht="15.75" customHeight="1">
      <c r="C401" s="79"/>
      <c r="O401" s="80"/>
      <c r="P401" s="80"/>
    </row>
    <row r="402" ht="15.75" customHeight="1">
      <c r="C402" s="79"/>
      <c r="O402" s="80"/>
      <c r="P402" s="80"/>
    </row>
    <row r="403" ht="15.75" customHeight="1">
      <c r="C403" s="79"/>
      <c r="O403" s="80"/>
      <c r="P403" s="80"/>
    </row>
    <row r="404" ht="15.75" customHeight="1">
      <c r="C404" s="79"/>
      <c r="O404" s="80"/>
      <c r="P404" s="80"/>
    </row>
    <row r="405" ht="15.75" customHeight="1">
      <c r="C405" s="79"/>
      <c r="O405" s="80"/>
      <c r="P405" s="80"/>
    </row>
    <row r="406" ht="15.75" customHeight="1">
      <c r="C406" s="79"/>
      <c r="O406" s="80"/>
      <c r="P406" s="80"/>
    </row>
    <row r="407" ht="15.75" customHeight="1">
      <c r="C407" s="79"/>
      <c r="O407" s="80"/>
      <c r="P407" s="80"/>
    </row>
    <row r="408" ht="15.75" customHeight="1">
      <c r="C408" s="79"/>
      <c r="O408" s="80"/>
      <c r="P408" s="80"/>
    </row>
    <row r="409" ht="15.75" customHeight="1">
      <c r="C409" s="79"/>
      <c r="O409" s="80"/>
      <c r="P409" s="80"/>
    </row>
    <row r="410" ht="15.75" customHeight="1">
      <c r="C410" s="79"/>
      <c r="O410" s="80"/>
      <c r="P410" s="80"/>
    </row>
    <row r="411" ht="15.75" customHeight="1">
      <c r="C411" s="79"/>
      <c r="O411" s="80"/>
      <c r="P411" s="80"/>
    </row>
    <row r="412" ht="15.75" customHeight="1">
      <c r="C412" s="79"/>
      <c r="O412" s="80"/>
      <c r="P412" s="80"/>
    </row>
    <row r="413" ht="15.75" customHeight="1">
      <c r="C413" s="79"/>
      <c r="O413" s="80"/>
      <c r="P413" s="80"/>
    </row>
    <row r="414" ht="15.75" customHeight="1">
      <c r="C414" s="79"/>
      <c r="O414" s="80"/>
      <c r="P414" s="80"/>
    </row>
    <row r="415" ht="15.75" customHeight="1">
      <c r="C415" s="79"/>
      <c r="O415" s="80"/>
      <c r="P415" s="80"/>
    </row>
    <row r="416" ht="15.75" customHeight="1">
      <c r="C416" s="79"/>
      <c r="O416" s="80"/>
      <c r="P416" s="80"/>
    </row>
    <row r="417" ht="15.75" customHeight="1">
      <c r="C417" s="79"/>
      <c r="O417" s="80"/>
      <c r="P417" s="80"/>
    </row>
    <row r="418" ht="15.75" customHeight="1">
      <c r="C418" s="79"/>
      <c r="O418" s="80"/>
      <c r="P418" s="80"/>
    </row>
    <row r="419" ht="15.75" customHeight="1">
      <c r="C419" s="79"/>
      <c r="O419" s="80"/>
      <c r="P419" s="80"/>
    </row>
    <row r="420" ht="15.75" customHeight="1">
      <c r="C420" s="79"/>
      <c r="O420" s="80"/>
      <c r="P420" s="80"/>
    </row>
    <row r="421" ht="15.75" customHeight="1">
      <c r="C421" s="79"/>
      <c r="O421" s="80"/>
      <c r="P421" s="80"/>
    </row>
    <row r="422" ht="15.75" customHeight="1">
      <c r="C422" s="79"/>
      <c r="O422" s="80"/>
      <c r="P422" s="80"/>
    </row>
    <row r="423" ht="15.75" customHeight="1">
      <c r="C423" s="79"/>
      <c r="O423" s="80"/>
      <c r="P423" s="80"/>
    </row>
    <row r="424" ht="15.75" customHeight="1">
      <c r="C424" s="79"/>
      <c r="O424" s="80"/>
      <c r="P424" s="80"/>
    </row>
    <row r="425" ht="15.75" customHeight="1">
      <c r="C425" s="79"/>
      <c r="O425" s="80"/>
      <c r="P425" s="80"/>
    </row>
    <row r="426" ht="15.75" customHeight="1">
      <c r="C426" s="79"/>
      <c r="O426" s="80"/>
      <c r="P426" s="80"/>
    </row>
    <row r="427" ht="15.75" customHeight="1">
      <c r="C427" s="79"/>
      <c r="O427" s="80"/>
      <c r="P427" s="80"/>
    </row>
    <row r="428" ht="15.75" customHeight="1">
      <c r="C428" s="79"/>
      <c r="O428" s="80"/>
      <c r="P428" s="80"/>
    </row>
    <row r="429" ht="15.75" customHeight="1">
      <c r="C429" s="79"/>
      <c r="O429" s="80"/>
      <c r="P429" s="80"/>
    </row>
    <row r="430" ht="15.75" customHeight="1">
      <c r="C430" s="79"/>
      <c r="O430" s="80"/>
      <c r="P430" s="80"/>
    </row>
    <row r="431" ht="15.75" customHeight="1">
      <c r="C431" s="79"/>
      <c r="O431" s="80"/>
      <c r="P431" s="80"/>
    </row>
    <row r="432" ht="15.75" customHeight="1">
      <c r="C432" s="79"/>
      <c r="O432" s="80"/>
      <c r="P432" s="80"/>
    </row>
    <row r="433" ht="15.75" customHeight="1">
      <c r="C433" s="79"/>
      <c r="O433" s="80"/>
      <c r="P433" s="80"/>
    </row>
    <row r="434" ht="15.75" customHeight="1">
      <c r="C434" s="79"/>
      <c r="O434" s="80"/>
      <c r="P434" s="80"/>
    </row>
    <row r="435" ht="15.75" customHeight="1">
      <c r="C435" s="79"/>
      <c r="O435" s="80"/>
      <c r="P435" s="80"/>
    </row>
    <row r="436" ht="15.75" customHeight="1">
      <c r="C436" s="79"/>
      <c r="O436" s="80"/>
      <c r="P436" s="80"/>
    </row>
    <row r="437" ht="15.75" customHeight="1">
      <c r="C437" s="79"/>
      <c r="O437" s="80"/>
      <c r="P437" s="80"/>
    </row>
    <row r="438" ht="15.75" customHeight="1">
      <c r="C438" s="79"/>
      <c r="O438" s="80"/>
      <c r="P438" s="80"/>
    </row>
    <row r="439" ht="15.75" customHeight="1">
      <c r="C439" s="79"/>
      <c r="O439" s="80"/>
      <c r="P439" s="80"/>
    </row>
    <row r="440" ht="15.75" customHeight="1">
      <c r="C440" s="79"/>
      <c r="O440" s="80"/>
      <c r="P440" s="80"/>
    </row>
    <row r="441" ht="15.75" customHeight="1">
      <c r="C441" s="79"/>
      <c r="O441" s="80"/>
      <c r="P441" s="80"/>
    </row>
    <row r="442" ht="15.75" customHeight="1">
      <c r="C442" s="79"/>
      <c r="O442" s="80"/>
      <c r="P442" s="80"/>
    </row>
    <row r="443" ht="15.75" customHeight="1">
      <c r="C443" s="79"/>
      <c r="O443" s="80"/>
      <c r="P443" s="80"/>
    </row>
    <row r="444" ht="15.75" customHeight="1">
      <c r="C444" s="79"/>
      <c r="O444" s="80"/>
      <c r="P444" s="80"/>
    </row>
    <row r="445" ht="15.75" customHeight="1">
      <c r="C445" s="79"/>
      <c r="O445" s="80"/>
      <c r="P445" s="80"/>
    </row>
    <row r="446" ht="15.75" customHeight="1">
      <c r="C446" s="79"/>
      <c r="O446" s="80"/>
      <c r="P446" s="80"/>
    </row>
    <row r="447" ht="15.75" customHeight="1">
      <c r="C447" s="79"/>
      <c r="O447" s="80"/>
      <c r="P447" s="80"/>
    </row>
    <row r="448" ht="15.75" customHeight="1">
      <c r="C448" s="79"/>
      <c r="O448" s="80"/>
      <c r="P448" s="80"/>
    </row>
    <row r="449" ht="15.75" customHeight="1">
      <c r="C449" s="79"/>
      <c r="O449" s="80"/>
      <c r="P449" s="80"/>
    </row>
    <row r="450" ht="15.75" customHeight="1">
      <c r="C450" s="79"/>
      <c r="O450" s="80"/>
      <c r="P450" s="80"/>
    </row>
    <row r="451" ht="15.75" customHeight="1">
      <c r="C451" s="79"/>
      <c r="O451" s="80"/>
      <c r="P451" s="80"/>
    </row>
    <row r="452" ht="15.75" customHeight="1">
      <c r="C452" s="79"/>
      <c r="O452" s="80"/>
      <c r="P452" s="80"/>
    </row>
    <row r="453" ht="15.75" customHeight="1">
      <c r="C453" s="79"/>
      <c r="O453" s="80"/>
      <c r="P453" s="80"/>
    </row>
    <row r="454" ht="15.75" customHeight="1">
      <c r="C454" s="79"/>
      <c r="O454" s="80"/>
      <c r="P454" s="80"/>
    </row>
    <row r="455" ht="15.75" customHeight="1">
      <c r="C455" s="79"/>
      <c r="O455" s="80"/>
      <c r="P455" s="80"/>
    </row>
    <row r="456" ht="15.75" customHeight="1">
      <c r="C456" s="79"/>
      <c r="O456" s="80"/>
      <c r="P456" s="80"/>
    </row>
    <row r="457" ht="15.75" customHeight="1">
      <c r="C457" s="79"/>
      <c r="O457" s="80"/>
      <c r="P457" s="80"/>
    </row>
    <row r="458" ht="15.75" customHeight="1">
      <c r="C458" s="79"/>
      <c r="O458" s="80"/>
      <c r="P458" s="80"/>
    </row>
    <row r="459" ht="15.75" customHeight="1">
      <c r="C459" s="79"/>
      <c r="O459" s="80"/>
      <c r="P459" s="80"/>
    </row>
    <row r="460" ht="15.75" customHeight="1">
      <c r="C460" s="79"/>
      <c r="O460" s="80"/>
      <c r="P460" s="80"/>
    </row>
    <row r="461" ht="15.75" customHeight="1">
      <c r="C461" s="79"/>
      <c r="O461" s="80"/>
      <c r="P461" s="80"/>
    </row>
    <row r="462" ht="15.75" customHeight="1">
      <c r="C462" s="79"/>
      <c r="O462" s="80"/>
      <c r="P462" s="80"/>
    </row>
    <row r="463" ht="15.75" customHeight="1">
      <c r="C463" s="79"/>
      <c r="O463" s="80"/>
      <c r="P463" s="80"/>
    </row>
    <row r="464" ht="15.75" customHeight="1">
      <c r="C464" s="79"/>
      <c r="O464" s="80"/>
      <c r="P464" s="80"/>
    </row>
    <row r="465" ht="15.75" customHeight="1">
      <c r="C465" s="79"/>
      <c r="O465" s="80"/>
      <c r="P465" s="80"/>
    </row>
    <row r="466" ht="15.75" customHeight="1">
      <c r="C466" s="79"/>
      <c r="O466" s="80"/>
      <c r="P466" s="80"/>
    </row>
    <row r="467" ht="15.75" customHeight="1">
      <c r="C467" s="79"/>
      <c r="O467" s="80"/>
      <c r="P467" s="80"/>
    </row>
    <row r="468" ht="15.75" customHeight="1">
      <c r="C468" s="79"/>
      <c r="O468" s="80"/>
      <c r="P468" s="80"/>
    </row>
    <row r="469" ht="15.75" customHeight="1">
      <c r="C469" s="79"/>
      <c r="O469" s="80"/>
      <c r="P469" s="80"/>
    </row>
    <row r="470" ht="15.75" customHeight="1">
      <c r="C470" s="79"/>
      <c r="O470" s="80"/>
      <c r="P470" s="80"/>
    </row>
    <row r="471" ht="15.75" customHeight="1">
      <c r="C471" s="79"/>
      <c r="O471" s="80"/>
      <c r="P471" s="80"/>
    </row>
    <row r="472" ht="15.75" customHeight="1">
      <c r="C472" s="79"/>
      <c r="O472" s="80"/>
      <c r="P472" s="80"/>
    </row>
    <row r="473" ht="15.75" customHeight="1">
      <c r="C473" s="79"/>
      <c r="O473" s="80"/>
      <c r="P473" s="80"/>
    </row>
    <row r="474" ht="15.75" customHeight="1">
      <c r="C474" s="79"/>
      <c r="O474" s="80"/>
      <c r="P474" s="80"/>
    </row>
    <row r="475" ht="15.75" customHeight="1">
      <c r="C475" s="79"/>
      <c r="O475" s="80"/>
      <c r="P475" s="80"/>
    </row>
    <row r="476" ht="15.75" customHeight="1">
      <c r="C476" s="79"/>
      <c r="O476" s="80"/>
      <c r="P476" s="80"/>
    </row>
    <row r="477" ht="15.75" customHeight="1">
      <c r="C477" s="79"/>
      <c r="O477" s="80"/>
      <c r="P477" s="80"/>
    </row>
    <row r="478" ht="15.75" customHeight="1">
      <c r="C478" s="79"/>
      <c r="O478" s="80"/>
      <c r="P478" s="80"/>
    </row>
    <row r="479" ht="15.75" customHeight="1">
      <c r="C479" s="79"/>
      <c r="O479" s="80"/>
      <c r="P479" s="80"/>
    </row>
    <row r="480" ht="15.75" customHeight="1">
      <c r="C480" s="79"/>
      <c r="O480" s="80"/>
      <c r="P480" s="80"/>
    </row>
    <row r="481" ht="15.75" customHeight="1">
      <c r="C481" s="79"/>
      <c r="O481" s="80"/>
      <c r="P481" s="80"/>
    </row>
    <row r="482" ht="15.75" customHeight="1">
      <c r="C482" s="79"/>
      <c r="O482" s="80"/>
      <c r="P482" s="80"/>
    </row>
    <row r="483" ht="15.75" customHeight="1">
      <c r="C483" s="79"/>
      <c r="O483" s="80"/>
      <c r="P483" s="80"/>
    </row>
    <row r="484" ht="15.75" customHeight="1">
      <c r="C484" s="79"/>
      <c r="O484" s="80"/>
      <c r="P484" s="80"/>
    </row>
    <row r="485" ht="15.75" customHeight="1">
      <c r="C485" s="79"/>
      <c r="O485" s="80"/>
      <c r="P485" s="80"/>
    </row>
    <row r="486" ht="15.75" customHeight="1">
      <c r="C486" s="79"/>
      <c r="O486" s="80"/>
      <c r="P486" s="80"/>
    </row>
    <row r="487" ht="15.75" customHeight="1">
      <c r="C487" s="79"/>
      <c r="O487" s="80"/>
      <c r="P487" s="80"/>
    </row>
    <row r="488" ht="15.75" customHeight="1">
      <c r="C488" s="79"/>
      <c r="O488" s="80"/>
      <c r="P488" s="80"/>
    </row>
    <row r="489" ht="15.75" customHeight="1">
      <c r="C489" s="79"/>
      <c r="O489" s="80"/>
      <c r="P489" s="80"/>
    </row>
    <row r="490" ht="15.75" customHeight="1">
      <c r="C490" s="79"/>
      <c r="O490" s="80"/>
      <c r="P490" s="80"/>
    </row>
    <row r="491" ht="15.75" customHeight="1">
      <c r="C491" s="79"/>
      <c r="O491" s="80"/>
      <c r="P491" s="80"/>
    </row>
    <row r="492" ht="15.75" customHeight="1">
      <c r="C492" s="79"/>
      <c r="O492" s="80"/>
      <c r="P492" s="80"/>
    </row>
    <row r="493" ht="15.75" customHeight="1">
      <c r="C493" s="79"/>
      <c r="O493" s="80"/>
      <c r="P493" s="80"/>
    </row>
    <row r="494" ht="15.75" customHeight="1">
      <c r="C494" s="79"/>
      <c r="O494" s="80"/>
      <c r="P494" s="80"/>
    </row>
    <row r="495" ht="15.75" customHeight="1">
      <c r="C495" s="79"/>
      <c r="O495" s="80"/>
      <c r="P495" s="80"/>
    </row>
    <row r="496" ht="15.75" customHeight="1">
      <c r="C496" s="79"/>
      <c r="O496" s="80"/>
      <c r="P496" s="80"/>
    </row>
    <row r="497" ht="15.75" customHeight="1">
      <c r="C497" s="79"/>
      <c r="O497" s="80"/>
      <c r="P497" s="80"/>
    </row>
    <row r="498" ht="15.75" customHeight="1">
      <c r="C498" s="79"/>
      <c r="O498" s="80"/>
      <c r="P498" s="80"/>
    </row>
    <row r="499" ht="15.75" customHeight="1">
      <c r="C499" s="79"/>
      <c r="O499" s="80"/>
      <c r="P499" s="80"/>
    </row>
    <row r="500" ht="15.75" customHeight="1">
      <c r="C500" s="79"/>
      <c r="O500" s="80"/>
      <c r="P500" s="80"/>
    </row>
    <row r="501" ht="15.75" customHeight="1">
      <c r="C501" s="79"/>
      <c r="O501" s="80"/>
      <c r="P501" s="80"/>
    </row>
    <row r="502" ht="15.75" customHeight="1">
      <c r="C502" s="79"/>
      <c r="O502" s="80"/>
      <c r="P502" s="80"/>
    </row>
    <row r="503" ht="15.75" customHeight="1">
      <c r="C503" s="79"/>
      <c r="O503" s="80"/>
      <c r="P503" s="80"/>
    </row>
    <row r="504" ht="15.75" customHeight="1">
      <c r="C504" s="79"/>
      <c r="O504" s="80"/>
      <c r="P504" s="80"/>
    </row>
    <row r="505" ht="15.75" customHeight="1">
      <c r="C505" s="79"/>
      <c r="O505" s="80"/>
      <c r="P505" s="80"/>
    </row>
    <row r="506" ht="15.75" customHeight="1">
      <c r="C506" s="79"/>
      <c r="O506" s="80"/>
      <c r="P506" s="80"/>
    </row>
    <row r="507" ht="15.75" customHeight="1">
      <c r="C507" s="79"/>
      <c r="O507" s="80"/>
      <c r="P507" s="80"/>
    </row>
    <row r="508" ht="15.75" customHeight="1">
      <c r="C508" s="79"/>
      <c r="O508" s="80"/>
      <c r="P508" s="80"/>
    </row>
    <row r="509" ht="15.75" customHeight="1">
      <c r="C509" s="79"/>
      <c r="O509" s="80"/>
      <c r="P509" s="80"/>
    </row>
    <row r="510" ht="15.75" customHeight="1">
      <c r="C510" s="79"/>
      <c r="O510" s="80"/>
      <c r="P510" s="80"/>
    </row>
    <row r="511" ht="15.75" customHeight="1">
      <c r="C511" s="79"/>
      <c r="O511" s="80"/>
      <c r="P511" s="80"/>
    </row>
    <row r="512" ht="15.75" customHeight="1">
      <c r="C512" s="79"/>
      <c r="O512" s="80"/>
      <c r="P512" s="80"/>
    </row>
    <row r="513" ht="15.75" customHeight="1">
      <c r="C513" s="79"/>
      <c r="O513" s="80"/>
      <c r="P513" s="80"/>
    </row>
    <row r="514" ht="15.75" customHeight="1">
      <c r="C514" s="79"/>
      <c r="O514" s="80"/>
      <c r="P514" s="80"/>
    </row>
    <row r="515" ht="15.75" customHeight="1">
      <c r="C515" s="79"/>
      <c r="O515" s="80"/>
      <c r="P515" s="80"/>
    </row>
    <row r="516" ht="15.75" customHeight="1">
      <c r="C516" s="79"/>
      <c r="O516" s="80"/>
      <c r="P516" s="80"/>
    </row>
    <row r="517" ht="15.75" customHeight="1">
      <c r="C517" s="79"/>
      <c r="O517" s="80"/>
      <c r="P517" s="80"/>
    </row>
    <row r="518" ht="15.75" customHeight="1">
      <c r="C518" s="79"/>
      <c r="O518" s="80"/>
      <c r="P518" s="80"/>
    </row>
    <row r="519" ht="15.75" customHeight="1">
      <c r="C519" s="79"/>
      <c r="O519" s="80"/>
      <c r="P519" s="80"/>
    </row>
    <row r="520" ht="15.75" customHeight="1">
      <c r="C520" s="79"/>
      <c r="O520" s="80"/>
      <c r="P520" s="80"/>
    </row>
    <row r="521" ht="15.75" customHeight="1">
      <c r="C521" s="79"/>
      <c r="O521" s="80"/>
      <c r="P521" s="80"/>
    </row>
    <row r="522" ht="15.75" customHeight="1">
      <c r="C522" s="79"/>
      <c r="O522" s="80"/>
      <c r="P522" s="80"/>
    </row>
    <row r="523" ht="15.75" customHeight="1">
      <c r="C523" s="79"/>
      <c r="O523" s="80"/>
      <c r="P523" s="80"/>
    </row>
    <row r="524" ht="15.75" customHeight="1">
      <c r="C524" s="79"/>
      <c r="O524" s="80"/>
      <c r="P524" s="80"/>
    </row>
    <row r="525" ht="15.75" customHeight="1">
      <c r="C525" s="79"/>
      <c r="O525" s="80"/>
      <c r="P525" s="80"/>
    </row>
    <row r="526" ht="15.75" customHeight="1">
      <c r="C526" s="79"/>
      <c r="O526" s="80"/>
      <c r="P526" s="80"/>
    </row>
    <row r="527" ht="15.75" customHeight="1">
      <c r="C527" s="79"/>
      <c r="O527" s="80"/>
      <c r="P527" s="80"/>
    </row>
    <row r="528" ht="15.75" customHeight="1">
      <c r="C528" s="79"/>
      <c r="O528" s="80"/>
      <c r="P528" s="80"/>
    </row>
    <row r="529" ht="15.75" customHeight="1">
      <c r="C529" s="79"/>
      <c r="O529" s="80"/>
      <c r="P529" s="80"/>
    </row>
    <row r="530" ht="15.75" customHeight="1">
      <c r="C530" s="79"/>
      <c r="O530" s="80"/>
      <c r="P530" s="80"/>
    </row>
    <row r="531" ht="15.75" customHeight="1">
      <c r="C531" s="79"/>
      <c r="O531" s="80"/>
      <c r="P531" s="80"/>
    </row>
    <row r="532" ht="15.75" customHeight="1">
      <c r="C532" s="79"/>
      <c r="O532" s="80"/>
      <c r="P532" s="80"/>
    </row>
    <row r="533" ht="15.75" customHeight="1">
      <c r="C533" s="79"/>
      <c r="O533" s="80"/>
      <c r="P533" s="80"/>
    </row>
    <row r="534" ht="15.75" customHeight="1">
      <c r="C534" s="79"/>
      <c r="O534" s="80"/>
      <c r="P534" s="80"/>
    </row>
    <row r="535" ht="15.75" customHeight="1">
      <c r="C535" s="79"/>
      <c r="O535" s="80"/>
      <c r="P535" s="80"/>
    </row>
    <row r="536" ht="15.75" customHeight="1">
      <c r="C536" s="79"/>
      <c r="O536" s="80"/>
      <c r="P536" s="80"/>
    </row>
    <row r="537" ht="15.75" customHeight="1">
      <c r="C537" s="79"/>
      <c r="O537" s="80"/>
      <c r="P537" s="80"/>
    </row>
    <row r="538" ht="15.75" customHeight="1">
      <c r="C538" s="79"/>
      <c r="O538" s="80"/>
      <c r="P538" s="80"/>
    </row>
    <row r="539" ht="15.75" customHeight="1">
      <c r="C539" s="79"/>
      <c r="O539" s="80"/>
      <c r="P539" s="80"/>
    </row>
    <row r="540" ht="15.75" customHeight="1">
      <c r="C540" s="79"/>
      <c r="O540" s="80"/>
      <c r="P540" s="80"/>
    </row>
    <row r="541" ht="15.75" customHeight="1">
      <c r="C541" s="79"/>
      <c r="O541" s="80"/>
      <c r="P541" s="80"/>
    </row>
    <row r="542" ht="15.75" customHeight="1">
      <c r="C542" s="79"/>
      <c r="O542" s="80"/>
      <c r="P542" s="80"/>
    </row>
    <row r="543" ht="15.75" customHeight="1">
      <c r="C543" s="79"/>
      <c r="O543" s="80"/>
      <c r="P543" s="80"/>
    </row>
    <row r="544" ht="15.75" customHeight="1">
      <c r="C544" s="79"/>
      <c r="O544" s="80"/>
      <c r="P544" s="80"/>
    </row>
    <row r="545" ht="15.75" customHeight="1">
      <c r="C545" s="79"/>
      <c r="O545" s="80"/>
      <c r="P545" s="80"/>
    </row>
    <row r="546" ht="15.75" customHeight="1">
      <c r="C546" s="79"/>
      <c r="O546" s="80"/>
      <c r="P546" s="80"/>
    </row>
    <row r="547" ht="15.75" customHeight="1">
      <c r="C547" s="79"/>
      <c r="O547" s="80"/>
      <c r="P547" s="80"/>
    </row>
    <row r="548" ht="15.75" customHeight="1">
      <c r="C548" s="79"/>
      <c r="O548" s="80"/>
      <c r="P548" s="80"/>
    </row>
    <row r="549" ht="15.75" customHeight="1">
      <c r="C549" s="79"/>
      <c r="O549" s="80"/>
      <c r="P549" s="80"/>
    </row>
    <row r="550" ht="15.75" customHeight="1">
      <c r="C550" s="79"/>
      <c r="O550" s="80"/>
      <c r="P550" s="80"/>
    </row>
    <row r="551" ht="15.75" customHeight="1">
      <c r="C551" s="79"/>
      <c r="O551" s="80"/>
      <c r="P551" s="80"/>
    </row>
    <row r="552" ht="15.75" customHeight="1">
      <c r="C552" s="79"/>
      <c r="O552" s="80"/>
      <c r="P552" s="80"/>
    </row>
    <row r="553" ht="15.75" customHeight="1">
      <c r="C553" s="79"/>
      <c r="O553" s="80"/>
      <c r="P553" s="80"/>
    </row>
    <row r="554" ht="15.75" customHeight="1">
      <c r="C554" s="79"/>
      <c r="O554" s="80"/>
      <c r="P554" s="80"/>
    </row>
    <row r="555" ht="15.75" customHeight="1">
      <c r="C555" s="79"/>
      <c r="O555" s="80"/>
      <c r="P555" s="80"/>
    </row>
    <row r="556" ht="15.75" customHeight="1">
      <c r="C556" s="79"/>
      <c r="O556" s="80"/>
      <c r="P556" s="80"/>
    </row>
    <row r="557" ht="15.75" customHeight="1">
      <c r="C557" s="79"/>
      <c r="O557" s="80"/>
      <c r="P557" s="80"/>
    </row>
    <row r="558" ht="15.75" customHeight="1">
      <c r="C558" s="79"/>
      <c r="O558" s="80"/>
      <c r="P558" s="80"/>
    </row>
    <row r="559" ht="15.75" customHeight="1">
      <c r="C559" s="79"/>
      <c r="O559" s="80"/>
      <c r="P559" s="80"/>
    </row>
    <row r="560" ht="15.75" customHeight="1">
      <c r="C560" s="79"/>
      <c r="O560" s="80"/>
      <c r="P560" s="80"/>
    </row>
    <row r="561" ht="15.75" customHeight="1">
      <c r="C561" s="79"/>
      <c r="O561" s="80"/>
      <c r="P561" s="80"/>
    </row>
    <row r="562" ht="15.75" customHeight="1">
      <c r="C562" s="79"/>
      <c r="O562" s="80"/>
      <c r="P562" s="80"/>
    </row>
    <row r="563" ht="15.75" customHeight="1">
      <c r="C563" s="79"/>
      <c r="O563" s="80"/>
      <c r="P563" s="80"/>
    </row>
    <row r="564" ht="15.75" customHeight="1">
      <c r="C564" s="79"/>
      <c r="O564" s="80"/>
      <c r="P564" s="80"/>
    </row>
    <row r="565" ht="15.75" customHeight="1">
      <c r="C565" s="79"/>
      <c r="O565" s="80"/>
      <c r="P565" s="80"/>
    </row>
    <row r="566" ht="15.75" customHeight="1">
      <c r="C566" s="79"/>
      <c r="O566" s="80"/>
      <c r="P566" s="80"/>
    </row>
    <row r="567" ht="15.75" customHeight="1">
      <c r="C567" s="79"/>
      <c r="O567" s="80"/>
      <c r="P567" s="80"/>
    </row>
    <row r="568" ht="15.75" customHeight="1">
      <c r="C568" s="79"/>
      <c r="O568" s="80"/>
      <c r="P568" s="80"/>
    </row>
    <row r="569" ht="15.75" customHeight="1">
      <c r="C569" s="79"/>
      <c r="O569" s="80"/>
      <c r="P569" s="80"/>
    </row>
    <row r="570" ht="15.75" customHeight="1">
      <c r="C570" s="79"/>
      <c r="O570" s="80"/>
      <c r="P570" s="80"/>
    </row>
    <row r="571" ht="15.75" customHeight="1">
      <c r="C571" s="79"/>
      <c r="O571" s="80"/>
      <c r="P571" s="80"/>
    </row>
    <row r="572" ht="15.75" customHeight="1">
      <c r="C572" s="79"/>
      <c r="O572" s="80"/>
      <c r="P572" s="80"/>
    </row>
    <row r="573" ht="15.75" customHeight="1">
      <c r="C573" s="79"/>
      <c r="O573" s="80"/>
      <c r="P573" s="80"/>
    </row>
    <row r="574" ht="15.75" customHeight="1">
      <c r="C574" s="79"/>
      <c r="O574" s="80"/>
      <c r="P574" s="80"/>
    </row>
    <row r="575" ht="15.75" customHeight="1">
      <c r="C575" s="79"/>
      <c r="O575" s="80"/>
      <c r="P575" s="80"/>
    </row>
    <row r="576" ht="15.75" customHeight="1">
      <c r="C576" s="79"/>
      <c r="O576" s="80"/>
      <c r="P576" s="80"/>
    </row>
    <row r="577" ht="15.75" customHeight="1">
      <c r="C577" s="79"/>
      <c r="O577" s="80"/>
      <c r="P577" s="80"/>
    </row>
    <row r="578" ht="15.75" customHeight="1">
      <c r="C578" s="79"/>
      <c r="O578" s="80"/>
      <c r="P578" s="80"/>
    </row>
    <row r="579" ht="15.75" customHeight="1">
      <c r="C579" s="79"/>
      <c r="O579" s="80"/>
      <c r="P579" s="80"/>
    </row>
    <row r="580" ht="15.75" customHeight="1">
      <c r="C580" s="79"/>
      <c r="O580" s="80"/>
      <c r="P580" s="80"/>
    </row>
    <row r="581" ht="15.75" customHeight="1">
      <c r="C581" s="79"/>
      <c r="O581" s="80"/>
      <c r="P581" s="80"/>
    </row>
    <row r="582" ht="15.75" customHeight="1">
      <c r="C582" s="79"/>
      <c r="O582" s="80"/>
      <c r="P582" s="80"/>
    </row>
    <row r="583" ht="15.75" customHeight="1">
      <c r="C583" s="79"/>
      <c r="O583" s="80"/>
      <c r="P583" s="80"/>
    </row>
    <row r="584" ht="15.75" customHeight="1">
      <c r="C584" s="79"/>
      <c r="O584" s="80"/>
      <c r="P584" s="80"/>
    </row>
    <row r="585" ht="15.75" customHeight="1">
      <c r="C585" s="79"/>
      <c r="O585" s="80"/>
      <c r="P585" s="80"/>
    </row>
    <row r="586" ht="15.75" customHeight="1">
      <c r="C586" s="79"/>
      <c r="O586" s="80"/>
      <c r="P586" s="80"/>
    </row>
    <row r="587" ht="15.75" customHeight="1">
      <c r="C587" s="79"/>
      <c r="O587" s="80"/>
      <c r="P587" s="80"/>
    </row>
    <row r="588" ht="15.75" customHeight="1">
      <c r="C588" s="79"/>
      <c r="O588" s="80"/>
      <c r="P588" s="80"/>
    </row>
    <row r="589" ht="15.75" customHeight="1">
      <c r="C589" s="79"/>
      <c r="O589" s="80"/>
      <c r="P589" s="80"/>
    </row>
    <row r="590" ht="15.75" customHeight="1">
      <c r="C590" s="79"/>
      <c r="O590" s="80"/>
      <c r="P590" s="80"/>
    </row>
    <row r="591" ht="15.75" customHeight="1">
      <c r="C591" s="79"/>
      <c r="O591" s="80"/>
      <c r="P591" s="80"/>
    </row>
    <row r="592" ht="15.75" customHeight="1">
      <c r="C592" s="79"/>
      <c r="O592" s="80"/>
      <c r="P592" s="80"/>
    </row>
    <row r="593" ht="15.75" customHeight="1">
      <c r="C593" s="79"/>
      <c r="O593" s="80"/>
      <c r="P593" s="80"/>
    </row>
    <row r="594" ht="15.75" customHeight="1">
      <c r="C594" s="79"/>
      <c r="O594" s="80"/>
      <c r="P594" s="80"/>
    </row>
    <row r="595" ht="15.75" customHeight="1">
      <c r="C595" s="79"/>
      <c r="O595" s="80"/>
      <c r="P595" s="80"/>
    </row>
    <row r="596" ht="15.75" customHeight="1">
      <c r="C596" s="79"/>
      <c r="O596" s="80"/>
      <c r="P596" s="80"/>
    </row>
    <row r="597" ht="15.75" customHeight="1">
      <c r="C597" s="79"/>
      <c r="O597" s="80"/>
      <c r="P597" s="80"/>
    </row>
    <row r="598" ht="15.75" customHeight="1">
      <c r="C598" s="79"/>
      <c r="O598" s="80"/>
      <c r="P598" s="80"/>
    </row>
    <row r="599" ht="15.75" customHeight="1">
      <c r="C599" s="79"/>
      <c r="O599" s="80"/>
      <c r="P599" s="80"/>
    </row>
    <row r="600" ht="15.75" customHeight="1">
      <c r="C600" s="79"/>
      <c r="O600" s="80"/>
      <c r="P600" s="80"/>
    </row>
    <row r="601" ht="15.75" customHeight="1">
      <c r="C601" s="79"/>
      <c r="O601" s="80"/>
      <c r="P601" s="80"/>
    </row>
    <row r="602" ht="15.75" customHeight="1">
      <c r="C602" s="79"/>
      <c r="O602" s="80"/>
      <c r="P602" s="80"/>
    </row>
    <row r="603" ht="15.75" customHeight="1">
      <c r="C603" s="79"/>
      <c r="O603" s="80"/>
      <c r="P603" s="80"/>
    </row>
    <row r="604" ht="15.75" customHeight="1">
      <c r="C604" s="79"/>
      <c r="O604" s="80"/>
      <c r="P604" s="80"/>
    </row>
    <row r="605" ht="15.75" customHeight="1">
      <c r="C605" s="79"/>
      <c r="O605" s="80"/>
      <c r="P605" s="80"/>
    </row>
    <row r="606" ht="15.75" customHeight="1">
      <c r="C606" s="79"/>
      <c r="O606" s="80"/>
      <c r="P606" s="80"/>
    </row>
    <row r="607" ht="15.75" customHeight="1">
      <c r="C607" s="79"/>
      <c r="O607" s="80"/>
      <c r="P607" s="80"/>
    </row>
    <row r="608" ht="15.75" customHeight="1">
      <c r="C608" s="79"/>
      <c r="O608" s="80"/>
      <c r="P608" s="80"/>
    </row>
    <row r="609" ht="15.75" customHeight="1">
      <c r="C609" s="79"/>
      <c r="O609" s="80"/>
      <c r="P609" s="80"/>
    </row>
    <row r="610" ht="15.75" customHeight="1">
      <c r="C610" s="79"/>
      <c r="O610" s="80"/>
      <c r="P610" s="80"/>
    </row>
    <row r="611" ht="15.75" customHeight="1">
      <c r="C611" s="79"/>
      <c r="O611" s="80"/>
      <c r="P611" s="80"/>
    </row>
    <row r="612" ht="15.75" customHeight="1">
      <c r="C612" s="79"/>
      <c r="O612" s="80"/>
      <c r="P612" s="80"/>
    </row>
    <row r="613" ht="15.75" customHeight="1">
      <c r="C613" s="79"/>
      <c r="O613" s="80"/>
      <c r="P613" s="80"/>
    </row>
    <row r="614" ht="15.75" customHeight="1">
      <c r="C614" s="79"/>
      <c r="O614" s="80"/>
      <c r="P614" s="80"/>
    </row>
    <row r="615" ht="15.75" customHeight="1">
      <c r="C615" s="79"/>
      <c r="O615" s="80"/>
      <c r="P615" s="80"/>
    </row>
    <row r="616" ht="15.75" customHeight="1">
      <c r="C616" s="79"/>
      <c r="O616" s="80"/>
      <c r="P616" s="80"/>
    </row>
    <row r="617" ht="15.75" customHeight="1">
      <c r="C617" s="79"/>
      <c r="O617" s="80"/>
      <c r="P617" s="80"/>
    </row>
    <row r="618" ht="15.75" customHeight="1">
      <c r="C618" s="79"/>
      <c r="O618" s="80"/>
      <c r="P618" s="80"/>
    </row>
    <row r="619" ht="15.75" customHeight="1">
      <c r="C619" s="79"/>
      <c r="O619" s="80"/>
      <c r="P619" s="80"/>
    </row>
    <row r="620" ht="15.75" customHeight="1">
      <c r="C620" s="79"/>
      <c r="O620" s="80"/>
      <c r="P620" s="80"/>
    </row>
    <row r="621" ht="15.75" customHeight="1">
      <c r="C621" s="79"/>
      <c r="O621" s="80"/>
      <c r="P621" s="80"/>
    </row>
    <row r="622" ht="15.75" customHeight="1">
      <c r="C622" s="79"/>
      <c r="O622" s="80"/>
      <c r="P622" s="80"/>
    </row>
    <row r="623" ht="15.75" customHeight="1">
      <c r="C623" s="79"/>
      <c r="O623" s="80"/>
      <c r="P623" s="80"/>
    </row>
    <row r="624" ht="15.75" customHeight="1">
      <c r="C624" s="79"/>
      <c r="O624" s="80"/>
      <c r="P624" s="80"/>
    </row>
    <row r="625" ht="15.75" customHeight="1">
      <c r="C625" s="79"/>
      <c r="O625" s="80"/>
      <c r="P625" s="80"/>
    </row>
    <row r="626" ht="15.75" customHeight="1">
      <c r="C626" s="79"/>
      <c r="O626" s="80"/>
      <c r="P626" s="80"/>
    </row>
    <row r="627" ht="15.75" customHeight="1">
      <c r="C627" s="79"/>
      <c r="O627" s="80"/>
      <c r="P627" s="80"/>
    </row>
    <row r="628" ht="15.75" customHeight="1">
      <c r="C628" s="79"/>
      <c r="O628" s="80"/>
      <c r="P628" s="80"/>
    </row>
    <row r="629" ht="15.75" customHeight="1">
      <c r="C629" s="79"/>
      <c r="O629" s="80"/>
      <c r="P629" s="80"/>
    </row>
    <row r="630" ht="15.75" customHeight="1">
      <c r="C630" s="79"/>
      <c r="O630" s="80"/>
      <c r="P630" s="80"/>
    </row>
    <row r="631" ht="15.75" customHeight="1">
      <c r="C631" s="79"/>
      <c r="O631" s="80"/>
      <c r="P631" s="80"/>
    </row>
    <row r="632" ht="15.75" customHeight="1">
      <c r="C632" s="79"/>
      <c r="O632" s="80"/>
      <c r="P632" s="80"/>
    </row>
    <row r="633" ht="15.75" customHeight="1">
      <c r="C633" s="79"/>
      <c r="O633" s="80"/>
      <c r="P633" s="80"/>
    </row>
    <row r="634" ht="15.75" customHeight="1">
      <c r="C634" s="79"/>
      <c r="O634" s="80"/>
      <c r="P634" s="80"/>
    </row>
    <row r="635" ht="15.75" customHeight="1">
      <c r="C635" s="79"/>
      <c r="O635" s="80"/>
      <c r="P635" s="80"/>
    </row>
    <row r="636" ht="15.75" customHeight="1">
      <c r="C636" s="79"/>
      <c r="O636" s="80"/>
      <c r="P636" s="80"/>
    </row>
    <row r="637" ht="15.75" customHeight="1">
      <c r="C637" s="79"/>
      <c r="O637" s="80"/>
      <c r="P637" s="80"/>
    </row>
    <row r="638" ht="15.75" customHeight="1">
      <c r="C638" s="79"/>
      <c r="O638" s="80"/>
      <c r="P638" s="80"/>
    </row>
    <row r="639" ht="15.75" customHeight="1">
      <c r="C639" s="79"/>
      <c r="O639" s="80"/>
      <c r="P639" s="80"/>
    </row>
    <row r="640" ht="15.75" customHeight="1">
      <c r="C640" s="79"/>
      <c r="O640" s="80"/>
      <c r="P640" s="80"/>
    </row>
    <row r="641" ht="15.75" customHeight="1">
      <c r="C641" s="79"/>
      <c r="O641" s="80"/>
      <c r="P641" s="80"/>
    </row>
    <row r="642" ht="15.75" customHeight="1">
      <c r="C642" s="79"/>
      <c r="O642" s="80"/>
      <c r="P642" s="80"/>
    </row>
    <row r="643" ht="15.75" customHeight="1">
      <c r="C643" s="79"/>
      <c r="O643" s="80"/>
      <c r="P643" s="80"/>
    </row>
    <row r="644" ht="15.75" customHeight="1">
      <c r="C644" s="79"/>
      <c r="O644" s="80"/>
      <c r="P644" s="80"/>
    </row>
    <row r="645" ht="15.75" customHeight="1">
      <c r="C645" s="79"/>
      <c r="O645" s="80"/>
      <c r="P645" s="80"/>
    </row>
    <row r="646" ht="15.75" customHeight="1">
      <c r="C646" s="79"/>
      <c r="O646" s="80"/>
      <c r="P646" s="80"/>
    </row>
    <row r="647" ht="15.75" customHeight="1">
      <c r="C647" s="79"/>
      <c r="O647" s="80"/>
      <c r="P647" s="80"/>
    </row>
    <row r="648" ht="15.75" customHeight="1">
      <c r="C648" s="79"/>
      <c r="O648" s="80"/>
      <c r="P648" s="80"/>
    </row>
    <row r="649" ht="15.75" customHeight="1">
      <c r="C649" s="79"/>
      <c r="O649" s="80"/>
      <c r="P649" s="80"/>
    </row>
    <row r="650" ht="15.75" customHeight="1">
      <c r="C650" s="79"/>
      <c r="O650" s="80"/>
      <c r="P650" s="80"/>
    </row>
    <row r="651" ht="15.75" customHeight="1">
      <c r="C651" s="79"/>
      <c r="O651" s="80"/>
      <c r="P651" s="80"/>
    </row>
    <row r="652" ht="15.75" customHeight="1">
      <c r="C652" s="79"/>
      <c r="O652" s="80"/>
      <c r="P652" s="80"/>
    </row>
    <row r="653" ht="15.75" customHeight="1">
      <c r="C653" s="79"/>
      <c r="O653" s="80"/>
      <c r="P653" s="80"/>
    </row>
    <row r="654" ht="15.75" customHeight="1">
      <c r="C654" s="79"/>
      <c r="O654" s="80"/>
      <c r="P654" s="80"/>
    </row>
    <row r="655" ht="15.75" customHeight="1">
      <c r="C655" s="79"/>
      <c r="O655" s="80"/>
      <c r="P655" s="80"/>
    </row>
    <row r="656" ht="15.75" customHeight="1">
      <c r="C656" s="79"/>
      <c r="O656" s="80"/>
      <c r="P656" s="80"/>
    </row>
    <row r="657" ht="15.75" customHeight="1">
      <c r="C657" s="79"/>
      <c r="O657" s="80"/>
      <c r="P657" s="80"/>
    </row>
    <row r="658" ht="15.75" customHeight="1">
      <c r="C658" s="79"/>
      <c r="O658" s="80"/>
      <c r="P658" s="80"/>
    </row>
    <row r="659" ht="15.75" customHeight="1">
      <c r="C659" s="79"/>
      <c r="O659" s="80"/>
      <c r="P659" s="80"/>
    </row>
    <row r="660" ht="15.75" customHeight="1">
      <c r="C660" s="79"/>
      <c r="O660" s="80"/>
      <c r="P660" s="80"/>
    </row>
    <row r="661" ht="15.75" customHeight="1">
      <c r="C661" s="79"/>
      <c r="O661" s="80"/>
      <c r="P661" s="80"/>
    </row>
    <row r="662" ht="15.75" customHeight="1">
      <c r="C662" s="79"/>
      <c r="O662" s="80"/>
      <c r="P662" s="80"/>
    </row>
    <row r="663" ht="15.75" customHeight="1">
      <c r="C663" s="79"/>
      <c r="O663" s="80"/>
      <c r="P663" s="80"/>
    </row>
    <row r="664" ht="15.75" customHeight="1">
      <c r="C664" s="79"/>
      <c r="O664" s="80"/>
      <c r="P664" s="80"/>
    </row>
    <row r="665" ht="15.75" customHeight="1">
      <c r="C665" s="79"/>
      <c r="O665" s="80"/>
      <c r="P665" s="80"/>
    </row>
    <row r="666" ht="15.75" customHeight="1">
      <c r="C666" s="79"/>
      <c r="O666" s="80"/>
      <c r="P666" s="80"/>
    </row>
    <row r="667" ht="15.75" customHeight="1">
      <c r="C667" s="79"/>
      <c r="O667" s="80"/>
      <c r="P667" s="80"/>
    </row>
    <row r="668" ht="15.75" customHeight="1">
      <c r="C668" s="79"/>
      <c r="O668" s="80"/>
      <c r="P668" s="80"/>
    </row>
    <row r="669" ht="15.75" customHeight="1">
      <c r="C669" s="79"/>
      <c r="O669" s="80"/>
      <c r="P669" s="80"/>
    </row>
    <row r="670" ht="15.75" customHeight="1">
      <c r="C670" s="79"/>
      <c r="O670" s="80"/>
      <c r="P670" s="80"/>
    </row>
    <row r="671" ht="15.75" customHeight="1">
      <c r="C671" s="79"/>
      <c r="O671" s="80"/>
      <c r="P671" s="80"/>
    </row>
    <row r="672" ht="15.75" customHeight="1">
      <c r="C672" s="79"/>
      <c r="O672" s="80"/>
      <c r="P672" s="80"/>
    </row>
    <row r="673" ht="15.75" customHeight="1">
      <c r="C673" s="79"/>
      <c r="O673" s="80"/>
      <c r="P673" s="80"/>
    </row>
    <row r="674" ht="15.75" customHeight="1">
      <c r="C674" s="79"/>
      <c r="O674" s="80"/>
      <c r="P674" s="80"/>
    </row>
    <row r="675" ht="15.75" customHeight="1">
      <c r="C675" s="79"/>
      <c r="O675" s="80"/>
      <c r="P675" s="80"/>
    </row>
    <row r="676" ht="15.75" customHeight="1">
      <c r="C676" s="79"/>
      <c r="O676" s="80"/>
      <c r="P676" s="80"/>
    </row>
    <row r="677" ht="15.75" customHeight="1">
      <c r="C677" s="79"/>
      <c r="O677" s="80"/>
      <c r="P677" s="80"/>
    </row>
    <row r="678" ht="15.75" customHeight="1">
      <c r="C678" s="79"/>
      <c r="O678" s="80"/>
      <c r="P678" s="80"/>
    </row>
    <row r="679" ht="15.75" customHeight="1">
      <c r="C679" s="79"/>
      <c r="O679" s="80"/>
      <c r="P679" s="80"/>
    </row>
    <row r="680" ht="15.75" customHeight="1">
      <c r="C680" s="79"/>
      <c r="O680" s="80"/>
      <c r="P680" s="80"/>
    </row>
    <row r="681" ht="15.75" customHeight="1">
      <c r="C681" s="79"/>
      <c r="O681" s="80"/>
      <c r="P681" s="80"/>
    </row>
    <row r="682" ht="15.75" customHeight="1">
      <c r="C682" s="79"/>
      <c r="O682" s="80"/>
      <c r="P682" s="80"/>
    </row>
    <row r="683" ht="15.75" customHeight="1">
      <c r="C683" s="79"/>
      <c r="O683" s="80"/>
      <c r="P683" s="80"/>
    </row>
    <row r="684" ht="15.75" customHeight="1">
      <c r="C684" s="79"/>
      <c r="O684" s="80"/>
      <c r="P684" s="80"/>
    </row>
    <row r="685" ht="15.75" customHeight="1">
      <c r="C685" s="79"/>
      <c r="O685" s="80"/>
      <c r="P685" s="80"/>
    </row>
    <row r="686" ht="15.75" customHeight="1">
      <c r="C686" s="79"/>
      <c r="O686" s="80"/>
      <c r="P686" s="80"/>
    </row>
    <row r="687" ht="15.75" customHeight="1">
      <c r="C687" s="79"/>
      <c r="O687" s="80"/>
      <c r="P687" s="80"/>
    </row>
    <row r="688" ht="15.75" customHeight="1">
      <c r="C688" s="79"/>
      <c r="O688" s="80"/>
      <c r="P688" s="80"/>
    </row>
    <row r="689" ht="15.75" customHeight="1">
      <c r="C689" s="79"/>
      <c r="O689" s="80"/>
      <c r="P689" s="80"/>
    </row>
    <row r="690" ht="15.75" customHeight="1">
      <c r="C690" s="79"/>
      <c r="O690" s="80"/>
      <c r="P690" s="80"/>
    </row>
    <row r="691" ht="15.75" customHeight="1">
      <c r="C691" s="79"/>
      <c r="O691" s="80"/>
      <c r="P691" s="80"/>
    </row>
    <row r="692" ht="15.75" customHeight="1">
      <c r="C692" s="79"/>
      <c r="O692" s="80"/>
      <c r="P692" s="80"/>
    </row>
    <row r="693" ht="15.75" customHeight="1">
      <c r="C693" s="79"/>
      <c r="O693" s="80"/>
      <c r="P693" s="80"/>
    </row>
    <row r="694" ht="15.75" customHeight="1">
      <c r="C694" s="79"/>
      <c r="O694" s="80"/>
      <c r="P694" s="80"/>
    </row>
    <row r="695" ht="15.75" customHeight="1">
      <c r="C695" s="79"/>
      <c r="O695" s="80"/>
      <c r="P695" s="80"/>
    </row>
    <row r="696" ht="15.75" customHeight="1">
      <c r="C696" s="79"/>
      <c r="O696" s="80"/>
      <c r="P696" s="80"/>
    </row>
    <row r="697" ht="15.75" customHeight="1">
      <c r="C697" s="79"/>
      <c r="O697" s="80"/>
      <c r="P697" s="80"/>
    </row>
    <row r="698" ht="15.75" customHeight="1">
      <c r="C698" s="79"/>
      <c r="O698" s="80"/>
      <c r="P698" s="80"/>
    </row>
    <row r="699" ht="15.75" customHeight="1">
      <c r="C699" s="79"/>
      <c r="O699" s="80"/>
      <c r="P699" s="80"/>
    </row>
    <row r="700" ht="15.75" customHeight="1">
      <c r="C700" s="79"/>
      <c r="O700" s="80"/>
      <c r="P700" s="80"/>
    </row>
    <row r="701" ht="15.75" customHeight="1">
      <c r="C701" s="79"/>
      <c r="O701" s="80"/>
      <c r="P701" s="80"/>
    </row>
    <row r="702" ht="15.75" customHeight="1">
      <c r="C702" s="79"/>
      <c r="O702" s="80"/>
      <c r="P702" s="80"/>
    </row>
    <row r="703" ht="15.75" customHeight="1">
      <c r="C703" s="79"/>
      <c r="O703" s="80"/>
      <c r="P703" s="80"/>
    </row>
    <row r="704" ht="15.75" customHeight="1">
      <c r="C704" s="79"/>
      <c r="O704" s="80"/>
      <c r="P704" s="80"/>
    </row>
    <row r="705" ht="15.75" customHeight="1">
      <c r="C705" s="79"/>
      <c r="O705" s="80"/>
      <c r="P705" s="80"/>
    </row>
    <row r="706" ht="15.75" customHeight="1">
      <c r="C706" s="79"/>
      <c r="O706" s="80"/>
      <c r="P706" s="80"/>
    </row>
    <row r="707" ht="15.75" customHeight="1">
      <c r="C707" s="79"/>
      <c r="O707" s="80"/>
      <c r="P707" s="80"/>
    </row>
    <row r="708" ht="15.75" customHeight="1">
      <c r="C708" s="79"/>
      <c r="O708" s="80"/>
      <c r="P708" s="80"/>
    </row>
    <row r="709" ht="15.75" customHeight="1">
      <c r="C709" s="79"/>
      <c r="O709" s="80"/>
      <c r="P709" s="80"/>
    </row>
    <row r="710" ht="15.75" customHeight="1">
      <c r="C710" s="79"/>
      <c r="O710" s="80"/>
      <c r="P710" s="80"/>
    </row>
    <row r="711" ht="15.75" customHeight="1">
      <c r="C711" s="79"/>
      <c r="O711" s="80"/>
      <c r="P711" s="80"/>
    </row>
    <row r="712" ht="15.75" customHeight="1">
      <c r="C712" s="79"/>
      <c r="O712" s="80"/>
      <c r="P712" s="80"/>
    </row>
    <row r="713" ht="15.75" customHeight="1">
      <c r="C713" s="79"/>
      <c r="O713" s="80"/>
      <c r="P713" s="80"/>
    </row>
    <row r="714" ht="15.75" customHeight="1">
      <c r="C714" s="79"/>
      <c r="O714" s="80"/>
      <c r="P714" s="80"/>
    </row>
    <row r="715" ht="15.75" customHeight="1">
      <c r="C715" s="79"/>
      <c r="O715" s="80"/>
      <c r="P715" s="80"/>
    </row>
    <row r="716" ht="15.75" customHeight="1">
      <c r="C716" s="79"/>
      <c r="O716" s="80"/>
      <c r="P716" s="80"/>
    </row>
    <row r="717" ht="15.75" customHeight="1">
      <c r="C717" s="79"/>
      <c r="O717" s="80"/>
      <c r="P717" s="80"/>
    </row>
    <row r="718" ht="15.75" customHeight="1">
      <c r="C718" s="79"/>
      <c r="O718" s="80"/>
      <c r="P718" s="80"/>
    </row>
    <row r="719" ht="15.75" customHeight="1">
      <c r="C719" s="79"/>
      <c r="O719" s="80"/>
      <c r="P719" s="80"/>
    </row>
    <row r="720" ht="15.75" customHeight="1">
      <c r="C720" s="79"/>
      <c r="O720" s="80"/>
      <c r="P720" s="80"/>
    </row>
    <row r="721" ht="15.75" customHeight="1">
      <c r="C721" s="79"/>
      <c r="O721" s="80"/>
      <c r="P721" s="80"/>
    </row>
    <row r="722" ht="15.75" customHeight="1">
      <c r="C722" s="79"/>
      <c r="O722" s="80"/>
      <c r="P722" s="80"/>
    </row>
    <row r="723" ht="15.75" customHeight="1">
      <c r="C723" s="79"/>
      <c r="O723" s="80"/>
      <c r="P723" s="80"/>
    </row>
    <row r="724" ht="15.75" customHeight="1">
      <c r="C724" s="79"/>
      <c r="O724" s="80"/>
      <c r="P724" s="80"/>
    </row>
    <row r="725" ht="15.75" customHeight="1">
      <c r="C725" s="79"/>
      <c r="O725" s="80"/>
      <c r="P725" s="80"/>
    </row>
    <row r="726" ht="15.75" customHeight="1">
      <c r="C726" s="79"/>
      <c r="O726" s="80"/>
      <c r="P726" s="80"/>
    </row>
    <row r="727" ht="15.75" customHeight="1">
      <c r="C727" s="79"/>
      <c r="O727" s="80"/>
      <c r="P727" s="80"/>
    </row>
    <row r="728" ht="15.75" customHeight="1">
      <c r="C728" s="79"/>
      <c r="O728" s="80"/>
      <c r="P728" s="80"/>
    </row>
    <row r="729" ht="15.75" customHeight="1">
      <c r="C729" s="79"/>
      <c r="O729" s="80"/>
      <c r="P729" s="80"/>
    </row>
    <row r="730" ht="15.75" customHeight="1">
      <c r="C730" s="79"/>
      <c r="O730" s="80"/>
      <c r="P730" s="80"/>
    </row>
    <row r="731" ht="15.75" customHeight="1">
      <c r="C731" s="79"/>
      <c r="O731" s="80"/>
      <c r="P731" s="80"/>
    </row>
    <row r="732" ht="15.75" customHeight="1">
      <c r="C732" s="79"/>
      <c r="O732" s="80"/>
      <c r="P732" s="80"/>
    </row>
    <row r="733" ht="15.75" customHeight="1">
      <c r="C733" s="79"/>
      <c r="O733" s="80"/>
      <c r="P733" s="80"/>
    </row>
    <row r="734" ht="15.75" customHeight="1">
      <c r="C734" s="79"/>
      <c r="O734" s="80"/>
      <c r="P734" s="80"/>
    </row>
    <row r="735" ht="15.75" customHeight="1">
      <c r="C735" s="79"/>
      <c r="O735" s="80"/>
      <c r="P735" s="80"/>
    </row>
    <row r="736" ht="15.75" customHeight="1">
      <c r="C736" s="79"/>
      <c r="O736" s="80"/>
      <c r="P736" s="80"/>
    </row>
    <row r="737" ht="15.75" customHeight="1">
      <c r="C737" s="79"/>
      <c r="O737" s="80"/>
      <c r="P737" s="80"/>
    </row>
    <row r="738" ht="15.75" customHeight="1">
      <c r="C738" s="79"/>
      <c r="O738" s="80"/>
      <c r="P738" s="80"/>
    </row>
    <row r="739" ht="15.75" customHeight="1">
      <c r="C739" s="79"/>
      <c r="O739" s="80"/>
      <c r="P739" s="80"/>
    </row>
    <row r="740" ht="15.75" customHeight="1">
      <c r="C740" s="79"/>
      <c r="O740" s="80"/>
      <c r="P740" s="80"/>
    </row>
    <row r="741" ht="15.75" customHeight="1">
      <c r="C741" s="79"/>
      <c r="O741" s="80"/>
      <c r="P741" s="80"/>
    </row>
    <row r="742" ht="15.75" customHeight="1">
      <c r="C742" s="79"/>
      <c r="O742" s="80"/>
      <c r="P742" s="80"/>
    </row>
    <row r="743" ht="15.75" customHeight="1">
      <c r="C743" s="79"/>
      <c r="O743" s="80"/>
      <c r="P743" s="80"/>
    </row>
    <row r="744" ht="15.75" customHeight="1">
      <c r="C744" s="79"/>
      <c r="O744" s="80"/>
      <c r="P744" s="80"/>
    </row>
    <row r="745" ht="15.75" customHeight="1">
      <c r="C745" s="79"/>
      <c r="O745" s="80"/>
      <c r="P745" s="80"/>
    </row>
    <row r="746" ht="15.75" customHeight="1">
      <c r="C746" s="79"/>
      <c r="O746" s="80"/>
      <c r="P746" s="80"/>
    </row>
    <row r="747" ht="15.75" customHeight="1">
      <c r="C747" s="79"/>
      <c r="O747" s="80"/>
      <c r="P747" s="80"/>
    </row>
    <row r="748" ht="15.75" customHeight="1">
      <c r="C748" s="79"/>
      <c r="O748" s="80"/>
      <c r="P748" s="80"/>
    </row>
    <row r="749" ht="15.75" customHeight="1">
      <c r="C749" s="79"/>
      <c r="O749" s="80"/>
      <c r="P749" s="80"/>
    </row>
    <row r="750" ht="15.75" customHeight="1">
      <c r="C750" s="79"/>
      <c r="O750" s="80"/>
      <c r="P750" s="80"/>
    </row>
    <row r="751" ht="15.75" customHeight="1">
      <c r="C751" s="79"/>
      <c r="O751" s="80"/>
      <c r="P751" s="80"/>
    </row>
    <row r="752" ht="15.75" customHeight="1">
      <c r="C752" s="79"/>
      <c r="O752" s="80"/>
      <c r="P752" s="80"/>
    </row>
    <row r="753" ht="15.75" customHeight="1">
      <c r="C753" s="79"/>
      <c r="O753" s="80"/>
      <c r="P753" s="80"/>
    </row>
    <row r="754" ht="15.75" customHeight="1">
      <c r="C754" s="79"/>
      <c r="O754" s="80"/>
      <c r="P754" s="80"/>
    </row>
    <row r="755" ht="15.75" customHeight="1">
      <c r="C755" s="79"/>
      <c r="O755" s="80"/>
      <c r="P755" s="80"/>
    </row>
    <row r="756" ht="15.75" customHeight="1">
      <c r="C756" s="79"/>
      <c r="O756" s="80"/>
      <c r="P756" s="80"/>
    </row>
    <row r="757" ht="15.75" customHeight="1">
      <c r="C757" s="79"/>
      <c r="O757" s="80"/>
      <c r="P757" s="80"/>
    </row>
    <row r="758" ht="15.75" customHeight="1">
      <c r="C758" s="79"/>
      <c r="O758" s="80"/>
      <c r="P758" s="80"/>
    </row>
    <row r="759" ht="15.75" customHeight="1">
      <c r="C759" s="79"/>
      <c r="O759" s="80"/>
      <c r="P759" s="80"/>
    </row>
    <row r="760" ht="15.75" customHeight="1">
      <c r="C760" s="79"/>
      <c r="O760" s="80"/>
      <c r="P760" s="80"/>
    </row>
    <row r="761" ht="15.75" customHeight="1">
      <c r="C761" s="79"/>
      <c r="O761" s="80"/>
      <c r="P761" s="80"/>
    </row>
    <row r="762" ht="15.75" customHeight="1">
      <c r="C762" s="79"/>
      <c r="O762" s="80"/>
      <c r="P762" s="80"/>
    </row>
    <row r="763" ht="15.75" customHeight="1">
      <c r="C763" s="79"/>
      <c r="O763" s="80"/>
      <c r="P763" s="80"/>
    </row>
    <row r="764" ht="15.75" customHeight="1">
      <c r="C764" s="79"/>
      <c r="O764" s="80"/>
      <c r="P764" s="80"/>
    </row>
    <row r="765" ht="15.75" customHeight="1">
      <c r="C765" s="79"/>
      <c r="O765" s="80"/>
      <c r="P765" s="80"/>
    </row>
    <row r="766" ht="15.75" customHeight="1">
      <c r="C766" s="79"/>
      <c r="O766" s="80"/>
      <c r="P766" s="80"/>
    </row>
    <row r="767" ht="15.75" customHeight="1">
      <c r="C767" s="79"/>
      <c r="O767" s="80"/>
      <c r="P767" s="80"/>
    </row>
    <row r="768" ht="15.75" customHeight="1">
      <c r="C768" s="79"/>
      <c r="O768" s="80"/>
      <c r="P768" s="80"/>
    </row>
    <row r="769" ht="15.75" customHeight="1">
      <c r="C769" s="79"/>
      <c r="O769" s="80"/>
      <c r="P769" s="80"/>
    </row>
    <row r="770" ht="15.75" customHeight="1">
      <c r="C770" s="79"/>
      <c r="O770" s="80"/>
      <c r="P770" s="80"/>
    </row>
    <row r="771" ht="15.75" customHeight="1">
      <c r="C771" s="79"/>
      <c r="O771" s="80"/>
      <c r="P771" s="80"/>
    </row>
    <row r="772" ht="15.75" customHeight="1">
      <c r="C772" s="79"/>
      <c r="O772" s="80"/>
      <c r="P772" s="80"/>
    </row>
    <row r="773" ht="15.75" customHeight="1">
      <c r="C773" s="79"/>
      <c r="O773" s="80"/>
      <c r="P773" s="80"/>
    </row>
    <row r="774" ht="15.75" customHeight="1">
      <c r="C774" s="79"/>
      <c r="O774" s="80"/>
      <c r="P774" s="80"/>
    </row>
    <row r="775" ht="15.75" customHeight="1">
      <c r="C775" s="79"/>
      <c r="O775" s="80"/>
      <c r="P775" s="80"/>
    </row>
    <row r="776" ht="15.75" customHeight="1">
      <c r="C776" s="79"/>
      <c r="O776" s="80"/>
      <c r="P776" s="80"/>
    </row>
    <row r="777" ht="15.75" customHeight="1">
      <c r="C777" s="79"/>
      <c r="O777" s="80"/>
      <c r="P777" s="80"/>
    </row>
    <row r="778" ht="15.75" customHeight="1">
      <c r="C778" s="79"/>
      <c r="O778" s="80"/>
      <c r="P778" s="80"/>
    </row>
    <row r="779" ht="15.75" customHeight="1">
      <c r="C779" s="79"/>
      <c r="O779" s="80"/>
      <c r="P779" s="80"/>
    </row>
    <row r="780" ht="15.75" customHeight="1">
      <c r="C780" s="79"/>
      <c r="O780" s="80"/>
      <c r="P780" s="80"/>
    </row>
    <row r="781" ht="15.75" customHeight="1">
      <c r="C781" s="79"/>
      <c r="O781" s="80"/>
      <c r="P781" s="80"/>
    </row>
    <row r="782" ht="15.75" customHeight="1">
      <c r="C782" s="79"/>
      <c r="O782" s="80"/>
      <c r="P782" s="80"/>
    </row>
    <row r="783" ht="15.75" customHeight="1">
      <c r="C783" s="79"/>
      <c r="O783" s="80"/>
      <c r="P783" s="80"/>
    </row>
    <row r="784" ht="15.75" customHeight="1">
      <c r="C784" s="79"/>
      <c r="O784" s="80"/>
      <c r="P784" s="80"/>
    </row>
    <row r="785" ht="15.75" customHeight="1">
      <c r="C785" s="79"/>
      <c r="O785" s="80"/>
      <c r="P785" s="80"/>
    </row>
    <row r="786" ht="15.75" customHeight="1">
      <c r="C786" s="79"/>
      <c r="O786" s="80"/>
      <c r="P786" s="80"/>
    </row>
    <row r="787" ht="15.75" customHeight="1">
      <c r="C787" s="79"/>
      <c r="O787" s="80"/>
      <c r="P787" s="80"/>
    </row>
    <row r="788" ht="15.75" customHeight="1">
      <c r="C788" s="79"/>
      <c r="O788" s="80"/>
      <c r="P788" s="80"/>
    </row>
    <row r="789" ht="15.75" customHeight="1">
      <c r="C789" s="79"/>
      <c r="O789" s="80"/>
      <c r="P789" s="80"/>
    </row>
    <row r="790" ht="15.75" customHeight="1">
      <c r="C790" s="79"/>
      <c r="O790" s="80"/>
      <c r="P790" s="80"/>
    </row>
    <row r="791" ht="15.75" customHeight="1">
      <c r="C791" s="79"/>
      <c r="O791" s="80"/>
      <c r="P791" s="80"/>
    </row>
    <row r="792" ht="15.75" customHeight="1">
      <c r="C792" s="79"/>
      <c r="O792" s="80"/>
      <c r="P792" s="80"/>
    </row>
    <row r="793" ht="15.75" customHeight="1">
      <c r="C793" s="79"/>
      <c r="O793" s="80"/>
      <c r="P793" s="80"/>
    </row>
    <row r="794" ht="15.75" customHeight="1">
      <c r="C794" s="79"/>
      <c r="O794" s="80"/>
      <c r="P794" s="80"/>
    </row>
    <row r="795" ht="15.75" customHeight="1">
      <c r="C795" s="79"/>
      <c r="O795" s="80"/>
      <c r="P795" s="80"/>
    </row>
    <row r="796" ht="15.75" customHeight="1">
      <c r="C796" s="79"/>
      <c r="O796" s="80"/>
      <c r="P796" s="80"/>
    </row>
    <row r="797" ht="15.75" customHeight="1">
      <c r="C797" s="79"/>
      <c r="O797" s="80"/>
      <c r="P797" s="80"/>
    </row>
    <row r="798" ht="15.75" customHeight="1">
      <c r="C798" s="79"/>
      <c r="O798" s="80"/>
      <c r="P798" s="80"/>
    </row>
    <row r="799" ht="15.75" customHeight="1">
      <c r="C799" s="79"/>
      <c r="O799" s="80"/>
      <c r="P799" s="80"/>
    </row>
    <row r="800" ht="15.75" customHeight="1">
      <c r="C800" s="79"/>
      <c r="O800" s="80"/>
      <c r="P800" s="80"/>
    </row>
    <row r="801" ht="15.75" customHeight="1">
      <c r="C801" s="79"/>
      <c r="O801" s="80"/>
      <c r="P801" s="80"/>
    </row>
    <row r="802" ht="15.75" customHeight="1">
      <c r="C802" s="79"/>
      <c r="O802" s="80"/>
      <c r="P802" s="80"/>
    </row>
    <row r="803" ht="15.75" customHeight="1">
      <c r="C803" s="79"/>
      <c r="O803" s="80"/>
      <c r="P803" s="80"/>
    </row>
    <row r="804" ht="15.75" customHeight="1">
      <c r="C804" s="79"/>
      <c r="O804" s="80"/>
      <c r="P804" s="80"/>
    </row>
    <row r="805" ht="15.75" customHeight="1">
      <c r="C805" s="79"/>
      <c r="O805" s="80"/>
      <c r="P805" s="80"/>
    </row>
    <row r="806" ht="15.75" customHeight="1">
      <c r="C806" s="79"/>
      <c r="O806" s="80"/>
      <c r="P806" s="80"/>
    </row>
    <row r="807" ht="15.75" customHeight="1">
      <c r="C807" s="79"/>
      <c r="O807" s="80"/>
      <c r="P807" s="80"/>
    </row>
    <row r="808" ht="15.75" customHeight="1">
      <c r="C808" s="79"/>
      <c r="O808" s="80"/>
      <c r="P808" s="80"/>
    </row>
    <row r="809" ht="15.75" customHeight="1">
      <c r="C809" s="79"/>
      <c r="O809" s="80"/>
      <c r="P809" s="80"/>
    </row>
    <row r="810" ht="15.75" customHeight="1">
      <c r="C810" s="79"/>
      <c r="O810" s="80"/>
      <c r="P810" s="80"/>
    </row>
    <row r="811" ht="15.75" customHeight="1">
      <c r="C811" s="79"/>
      <c r="O811" s="80"/>
      <c r="P811" s="80"/>
    </row>
    <row r="812" ht="15.75" customHeight="1">
      <c r="C812" s="79"/>
      <c r="O812" s="80"/>
      <c r="P812" s="80"/>
    </row>
    <row r="813" ht="15.75" customHeight="1">
      <c r="C813" s="79"/>
      <c r="O813" s="80"/>
      <c r="P813" s="80"/>
    </row>
    <row r="814" ht="15.75" customHeight="1">
      <c r="C814" s="79"/>
      <c r="O814" s="80"/>
      <c r="P814" s="80"/>
    </row>
    <row r="815" ht="15.75" customHeight="1">
      <c r="C815" s="79"/>
      <c r="O815" s="80"/>
      <c r="P815" s="80"/>
    </row>
    <row r="816" ht="15.75" customHeight="1">
      <c r="C816" s="79"/>
      <c r="O816" s="80"/>
      <c r="P816" s="80"/>
    </row>
    <row r="817" ht="15.75" customHeight="1">
      <c r="C817" s="79"/>
      <c r="O817" s="80"/>
      <c r="P817" s="80"/>
    </row>
    <row r="818" ht="15.75" customHeight="1">
      <c r="C818" s="79"/>
      <c r="O818" s="80"/>
      <c r="P818" s="80"/>
    </row>
    <row r="819" ht="15.75" customHeight="1">
      <c r="C819" s="79"/>
      <c r="O819" s="80"/>
      <c r="P819" s="80"/>
    </row>
    <row r="820" ht="15.75" customHeight="1">
      <c r="C820" s="79"/>
      <c r="O820" s="80"/>
      <c r="P820" s="80"/>
    </row>
    <row r="821" ht="15.75" customHeight="1">
      <c r="C821" s="79"/>
      <c r="O821" s="80"/>
      <c r="P821" s="80"/>
    </row>
    <row r="822" ht="15.75" customHeight="1">
      <c r="C822" s="79"/>
      <c r="O822" s="80"/>
      <c r="P822" s="80"/>
    </row>
    <row r="823" ht="15.75" customHeight="1">
      <c r="C823" s="79"/>
      <c r="O823" s="80"/>
      <c r="P823" s="80"/>
    </row>
    <row r="824" ht="15.75" customHeight="1">
      <c r="C824" s="79"/>
      <c r="O824" s="80"/>
      <c r="P824" s="80"/>
    </row>
    <row r="825" ht="15.75" customHeight="1">
      <c r="C825" s="79"/>
      <c r="O825" s="80"/>
      <c r="P825" s="80"/>
    </row>
    <row r="826" ht="15.75" customHeight="1">
      <c r="C826" s="79"/>
      <c r="O826" s="80"/>
      <c r="P826" s="80"/>
    </row>
    <row r="827" ht="15.75" customHeight="1">
      <c r="C827" s="79"/>
      <c r="O827" s="80"/>
      <c r="P827" s="80"/>
    </row>
    <row r="828" ht="15.75" customHeight="1">
      <c r="C828" s="79"/>
      <c r="O828" s="80"/>
      <c r="P828" s="80"/>
    </row>
    <row r="829" ht="15.75" customHeight="1">
      <c r="C829" s="79"/>
      <c r="O829" s="80"/>
      <c r="P829" s="80"/>
    </row>
    <row r="830" ht="15.75" customHeight="1">
      <c r="C830" s="79"/>
      <c r="O830" s="80"/>
      <c r="P830" s="80"/>
    </row>
    <row r="831" ht="15.75" customHeight="1">
      <c r="C831" s="79"/>
      <c r="O831" s="80"/>
      <c r="P831" s="80"/>
    </row>
    <row r="832" ht="15.75" customHeight="1">
      <c r="C832" s="79"/>
      <c r="O832" s="80"/>
      <c r="P832" s="80"/>
    </row>
    <row r="833" ht="15.75" customHeight="1">
      <c r="C833" s="79"/>
      <c r="O833" s="80"/>
      <c r="P833" s="80"/>
    </row>
    <row r="834" ht="15.75" customHeight="1">
      <c r="C834" s="79"/>
      <c r="O834" s="80"/>
      <c r="P834" s="80"/>
    </row>
    <row r="835" ht="15.75" customHeight="1">
      <c r="C835" s="79"/>
      <c r="O835" s="80"/>
      <c r="P835" s="80"/>
    </row>
    <row r="836" ht="15.75" customHeight="1">
      <c r="C836" s="79"/>
      <c r="O836" s="80"/>
      <c r="P836" s="80"/>
    </row>
    <row r="837" ht="15.75" customHeight="1">
      <c r="C837" s="79"/>
      <c r="O837" s="80"/>
      <c r="P837" s="80"/>
    </row>
    <row r="838" ht="15.75" customHeight="1">
      <c r="C838" s="79"/>
      <c r="O838" s="80"/>
      <c r="P838" s="80"/>
    </row>
    <row r="839" ht="15.75" customHeight="1">
      <c r="C839" s="79"/>
      <c r="O839" s="80"/>
      <c r="P839" s="80"/>
    </row>
    <row r="840" ht="15.75" customHeight="1">
      <c r="C840" s="79"/>
      <c r="O840" s="80"/>
      <c r="P840" s="80"/>
    </row>
    <row r="841" ht="15.75" customHeight="1">
      <c r="C841" s="79"/>
      <c r="O841" s="80"/>
      <c r="P841" s="80"/>
    </row>
    <row r="842" ht="15.75" customHeight="1">
      <c r="C842" s="79"/>
      <c r="O842" s="80"/>
      <c r="P842" s="80"/>
    </row>
    <row r="843" ht="15.75" customHeight="1">
      <c r="C843" s="79"/>
      <c r="O843" s="80"/>
      <c r="P843" s="80"/>
    </row>
    <row r="844" ht="15.75" customHeight="1">
      <c r="C844" s="79"/>
      <c r="O844" s="80"/>
      <c r="P844" s="80"/>
    </row>
    <row r="845" ht="15.75" customHeight="1">
      <c r="C845" s="79"/>
      <c r="O845" s="80"/>
      <c r="P845" s="80"/>
    </row>
    <row r="846" ht="15.75" customHeight="1">
      <c r="C846" s="79"/>
      <c r="O846" s="80"/>
      <c r="P846" s="80"/>
    </row>
    <row r="847" ht="15.75" customHeight="1">
      <c r="C847" s="79"/>
      <c r="O847" s="80"/>
      <c r="P847" s="80"/>
    </row>
    <row r="848" ht="15.75" customHeight="1">
      <c r="C848" s="79"/>
      <c r="O848" s="80"/>
      <c r="P848" s="80"/>
    </row>
    <row r="849" ht="15.75" customHeight="1">
      <c r="C849" s="79"/>
      <c r="O849" s="80"/>
      <c r="P849" s="80"/>
    </row>
    <row r="850" ht="15.75" customHeight="1">
      <c r="C850" s="79"/>
      <c r="O850" s="80"/>
      <c r="P850" s="80"/>
    </row>
    <row r="851" ht="15.75" customHeight="1">
      <c r="C851" s="79"/>
      <c r="O851" s="80"/>
      <c r="P851" s="80"/>
    </row>
    <row r="852" ht="15.75" customHeight="1">
      <c r="C852" s="79"/>
      <c r="O852" s="80"/>
      <c r="P852" s="80"/>
    </row>
    <row r="853" ht="15.75" customHeight="1">
      <c r="C853" s="79"/>
      <c r="O853" s="80"/>
      <c r="P853" s="80"/>
    </row>
    <row r="854" ht="15.75" customHeight="1">
      <c r="C854" s="79"/>
      <c r="O854" s="80"/>
      <c r="P854" s="80"/>
    </row>
    <row r="855" ht="15.75" customHeight="1">
      <c r="C855" s="79"/>
      <c r="O855" s="80"/>
      <c r="P855" s="80"/>
    </row>
    <row r="856" ht="15.75" customHeight="1">
      <c r="C856" s="79"/>
      <c r="O856" s="80"/>
      <c r="P856" s="80"/>
    </row>
    <row r="857" ht="15.75" customHeight="1">
      <c r="C857" s="79"/>
      <c r="O857" s="80"/>
      <c r="P857" s="80"/>
    </row>
    <row r="858" ht="15.75" customHeight="1">
      <c r="C858" s="79"/>
      <c r="O858" s="80"/>
      <c r="P858" s="80"/>
    </row>
    <row r="859" ht="15.75" customHeight="1">
      <c r="C859" s="79"/>
      <c r="O859" s="80"/>
      <c r="P859" s="80"/>
    </row>
    <row r="860" ht="15.75" customHeight="1">
      <c r="C860" s="79"/>
      <c r="O860" s="80"/>
      <c r="P860" s="80"/>
    </row>
    <row r="861" ht="15.75" customHeight="1">
      <c r="C861" s="79"/>
      <c r="O861" s="80"/>
      <c r="P861" s="80"/>
    </row>
    <row r="862" ht="15.75" customHeight="1">
      <c r="C862" s="79"/>
      <c r="O862" s="80"/>
      <c r="P862" s="80"/>
    </row>
    <row r="863" ht="15.75" customHeight="1">
      <c r="C863" s="79"/>
      <c r="O863" s="80"/>
      <c r="P863" s="80"/>
    </row>
    <row r="864" ht="15.75" customHeight="1">
      <c r="C864" s="79"/>
      <c r="O864" s="80"/>
      <c r="P864" s="80"/>
    </row>
    <row r="865" ht="15.75" customHeight="1">
      <c r="C865" s="79"/>
      <c r="O865" s="80"/>
      <c r="P865" s="80"/>
    </row>
    <row r="866" ht="15.75" customHeight="1">
      <c r="C866" s="79"/>
      <c r="O866" s="80"/>
      <c r="P866" s="80"/>
    </row>
    <row r="867" ht="15.75" customHeight="1">
      <c r="C867" s="79"/>
      <c r="O867" s="80"/>
      <c r="P867" s="80"/>
    </row>
    <row r="868" ht="15.75" customHeight="1">
      <c r="C868" s="79"/>
      <c r="O868" s="80"/>
      <c r="P868" s="80"/>
    </row>
    <row r="869" ht="15.75" customHeight="1">
      <c r="C869" s="79"/>
      <c r="O869" s="80"/>
      <c r="P869" s="80"/>
    </row>
    <row r="870" ht="15.75" customHeight="1">
      <c r="C870" s="79"/>
      <c r="O870" s="80"/>
      <c r="P870" s="80"/>
    </row>
    <row r="871" ht="15.75" customHeight="1">
      <c r="C871" s="79"/>
      <c r="O871" s="80"/>
      <c r="P871" s="80"/>
    </row>
    <row r="872" ht="15.75" customHeight="1">
      <c r="C872" s="79"/>
      <c r="O872" s="80"/>
      <c r="P872" s="80"/>
    </row>
    <row r="873" ht="15.75" customHeight="1">
      <c r="C873" s="79"/>
      <c r="O873" s="80"/>
      <c r="P873" s="80"/>
    </row>
    <row r="874" ht="15.75" customHeight="1">
      <c r="C874" s="79"/>
      <c r="O874" s="80"/>
      <c r="P874" s="80"/>
    </row>
    <row r="875" ht="15.75" customHeight="1">
      <c r="C875" s="79"/>
      <c r="O875" s="80"/>
      <c r="P875" s="80"/>
    </row>
    <row r="876" ht="15.75" customHeight="1">
      <c r="C876" s="79"/>
      <c r="O876" s="80"/>
      <c r="P876" s="80"/>
    </row>
    <row r="877" ht="15.75" customHeight="1">
      <c r="C877" s="79"/>
      <c r="O877" s="80"/>
      <c r="P877" s="80"/>
    </row>
    <row r="878" ht="15.75" customHeight="1">
      <c r="C878" s="79"/>
      <c r="O878" s="80"/>
      <c r="P878" s="80"/>
    </row>
    <row r="879" ht="15.75" customHeight="1">
      <c r="C879" s="79"/>
      <c r="O879" s="80"/>
      <c r="P879" s="80"/>
    </row>
    <row r="880" ht="15.75" customHeight="1">
      <c r="C880" s="79"/>
      <c r="O880" s="80"/>
      <c r="P880" s="80"/>
    </row>
    <row r="881" ht="15.75" customHeight="1">
      <c r="C881" s="79"/>
      <c r="O881" s="80"/>
      <c r="P881" s="80"/>
    </row>
    <row r="882" ht="15.75" customHeight="1">
      <c r="C882" s="79"/>
      <c r="O882" s="80"/>
      <c r="P882" s="80"/>
    </row>
    <row r="883" ht="15.75" customHeight="1">
      <c r="C883" s="79"/>
      <c r="O883" s="80"/>
      <c r="P883" s="80"/>
    </row>
    <row r="884" ht="15.75" customHeight="1">
      <c r="C884" s="79"/>
      <c r="O884" s="80"/>
      <c r="P884" s="80"/>
    </row>
    <row r="885" ht="15.75" customHeight="1">
      <c r="C885" s="79"/>
      <c r="O885" s="80"/>
      <c r="P885" s="80"/>
    </row>
    <row r="886" ht="15.75" customHeight="1">
      <c r="C886" s="79"/>
      <c r="O886" s="80"/>
      <c r="P886" s="80"/>
    </row>
    <row r="887" ht="15.75" customHeight="1">
      <c r="C887" s="79"/>
      <c r="O887" s="80"/>
      <c r="P887" s="80"/>
    </row>
    <row r="888" ht="15.75" customHeight="1">
      <c r="C888" s="79"/>
      <c r="O888" s="80"/>
      <c r="P888" s="80"/>
    </row>
    <row r="889" ht="15.75" customHeight="1">
      <c r="C889" s="79"/>
      <c r="O889" s="80"/>
      <c r="P889" s="80"/>
    </row>
    <row r="890" ht="15.75" customHeight="1">
      <c r="C890" s="79"/>
      <c r="O890" s="80"/>
      <c r="P890" s="80"/>
    </row>
    <row r="891" ht="15.75" customHeight="1">
      <c r="C891" s="79"/>
      <c r="O891" s="80"/>
      <c r="P891" s="80"/>
    </row>
    <row r="892" ht="15.75" customHeight="1">
      <c r="C892" s="79"/>
      <c r="O892" s="80"/>
      <c r="P892" s="80"/>
    </row>
    <row r="893" ht="15.75" customHeight="1">
      <c r="C893" s="79"/>
      <c r="O893" s="80"/>
      <c r="P893" s="80"/>
    </row>
    <row r="894" ht="15.75" customHeight="1">
      <c r="C894" s="79"/>
      <c r="O894" s="80"/>
      <c r="P894" s="80"/>
    </row>
    <row r="895" ht="15.75" customHeight="1">
      <c r="C895" s="79"/>
      <c r="O895" s="80"/>
      <c r="P895" s="80"/>
    </row>
    <row r="896" ht="15.75" customHeight="1">
      <c r="C896" s="79"/>
      <c r="O896" s="80"/>
      <c r="P896" s="80"/>
    </row>
    <row r="897" ht="15.75" customHeight="1">
      <c r="C897" s="79"/>
      <c r="O897" s="80"/>
      <c r="P897" s="80"/>
    </row>
    <row r="898" ht="15.75" customHeight="1">
      <c r="C898" s="79"/>
      <c r="O898" s="80"/>
      <c r="P898" s="80"/>
    </row>
    <row r="899" ht="15.75" customHeight="1">
      <c r="C899" s="79"/>
      <c r="O899" s="80"/>
      <c r="P899" s="80"/>
    </row>
    <row r="900" ht="15.75" customHeight="1">
      <c r="C900" s="79"/>
      <c r="O900" s="80"/>
      <c r="P900" s="80"/>
    </row>
    <row r="901" ht="15.75" customHeight="1">
      <c r="C901" s="79"/>
      <c r="O901" s="80"/>
      <c r="P901" s="80"/>
    </row>
    <row r="902" ht="15.75" customHeight="1">
      <c r="C902" s="79"/>
      <c r="O902" s="80"/>
      <c r="P902" s="80"/>
    </row>
    <row r="903" ht="15.75" customHeight="1">
      <c r="C903" s="79"/>
      <c r="O903" s="80"/>
      <c r="P903" s="80"/>
    </row>
    <row r="904" ht="15.75" customHeight="1">
      <c r="C904" s="79"/>
      <c r="O904" s="80"/>
      <c r="P904" s="80"/>
    </row>
    <row r="905" ht="15.75" customHeight="1">
      <c r="C905" s="79"/>
      <c r="O905" s="80"/>
      <c r="P905" s="80"/>
    </row>
    <row r="906" ht="15.75" customHeight="1">
      <c r="C906" s="79"/>
      <c r="O906" s="80"/>
      <c r="P906" s="80"/>
    </row>
    <row r="907" ht="15.75" customHeight="1">
      <c r="C907" s="79"/>
      <c r="O907" s="80"/>
      <c r="P907" s="80"/>
    </row>
    <row r="908" ht="15.75" customHeight="1">
      <c r="C908" s="79"/>
      <c r="O908" s="80"/>
      <c r="P908" s="80"/>
    </row>
    <row r="909" ht="15.75" customHeight="1">
      <c r="C909" s="79"/>
      <c r="O909" s="80"/>
      <c r="P909" s="80"/>
    </row>
    <row r="910" ht="15.75" customHeight="1">
      <c r="C910" s="79"/>
      <c r="O910" s="80"/>
      <c r="P910" s="80"/>
    </row>
    <row r="911" ht="15.75" customHeight="1">
      <c r="C911" s="79"/>
      <c r="O911" s="80"/>
      <c r="P911" s="80"/>
    </row>
    <row r="912" ht="15.75" customHeight="1">
      <c r="C912" s="79"/>
      <c r="O912" s="80"/>
      <c r="P912" s="80"/>
    </row>
    <row r="913" ht="15.75" customHeight="1">
      <c r="C913" s="79"/>
      <c r="O913" s="80"/>
      <c r="P913" s="80"/>
    </row>
    <row r="914" ht="15.75" customHeight="1">
      <c r="C914" s="79"/>
      <c r="O914" s="80"/>
      <c r="P914" s="80"/>
    </row>
    <row r="915" ht="15.75" customHeight="1">
      <c r="C915" s="79"/>
      <c r="O915" s="80"/>
      <c r="P915" s="80"/>
    </row>
    <row r="916" ht="15.75" customHeight="1">
      <c r="C916" s="79"/>
      <c r="O916" s="80"/>
      <c r="P916" s="80"/>
    </row>
    <row r="917" ht="15.75" customHeight="1">
      <c r="C917" s="79"/>
      <c r="O917" s="80"/>
      <c r="P917" s="80"/>
    </row>
    <row r="918" ht="15.75" customHeight="1">
      <c r="C918" s="79"/>
      <c r="O918" s="80"/>
      <c r="P918" s="80"/>
    </row>
    <row r="919" ht="15.75" customHeight="1">
      <c r="C919" s="79"/>
      <c r="O919" s="80"/>
      <c r="P919" s="80"/>
    </row>
    <row r="920" ht="15.75" customHeight="1">
      <c r="C920" s="79"/>
      <c r="O920" s="80"/>
      <c r="P920" s="80"/>
    </row>
    <row r="921" ht="15.75" customHeight="1">
      <c r="C921" s="79"/>
      <c r="O921" s="80"/>
      <c r="P921" s="80"/>
    </row>
    <row r="922" ht="15.75" customHeight="1">
      <c r="C922" s="79"/>
      <c r="O922" s="80"/>
      <c r="P922" s="80"/>
    </row>
    <row r="923" ht="15.75" customHeight="1">
      <c r="C923" s="79"/>
      <c r="O923" s="80"/>
      <c r="P923" s="80"/>
    </row>
    <row r="924" ht="15.75" customHeight="1">
      <c r="C924" s="79"/>
      <c r="O924" s="80"/>
      <c r="P924" s="80"/>
    </row>
    <row r="925" ht="15.75" customHeight="1">
      <c r="C925" s="79"/>
      <c r="O925" s="80"/>
      <c r="P925" s="80"/>
    </row>
    <row r="926" ht="15.75" customHeight="1">
      <c r="C926" s="79"/>
      <c r="O926" s="80"/>
      <c r="P926" s="80"/>
    </row>
    <row r="927" ht="15.75" customHeight="1">
      <c r="C927" s="79"/>
      <c r="O927" s="80"/>
      <c r="P927" s="80"/>
    </row>
    <row r="928" ht="15.75" customHeight="1">
      <c r="C928" s="79"/>
      <c r="O928" s="80"/>
      <c r="P928" s="80"/>
    </row>
    <row r="929" ht="15.75" customHeight="1">
      <c r="C929" s="79"/>
      <c r="O929" s="80"/>
      <c r="P929" s="80"/>
    </row>
    <row r="930" ht="15.75" customHeight="1">
      <c r="C930" s="79"/>
      <c r="O930" s="80"/>
      <c r="P930" s="80"/>
    </row>
    <row r="931" ht="15.75" customHeight="1">
      <c r="C931" s="79"/>
      <c r="O931" s="80"/>
      <c r="P931" s="80"/>
    </row>
    <row r="932" ht="15.75" customHeight="1">
      <c r="C932" s="79"/>
      <c r="O932" s="80"/>
      <c r="P932" s="80"/>
    </row>
    <row r="933" ht="15.75" customHeight="1">
      <c r="C933" s="79"/>
      <c r="O933" s="80"/>
      <c r="P933" s="80"/>
    </row>
    <row r="934" ht="15.75" customHeight="1">
      <c r="C934" s="79"/>
      <c r="O934" s="80"/>
      <c r="P934" s="80"/>
    </row>
    <row r="935" ht="15.75" customHeight="1">
      <c r="C935" s="79"/>
      <c r="O935" s="80"/>
      <c r="P935" s="80"/>
    </row>
    <row r="936" ht="15.75" customHeight="1">
      <c r="C936" s="79"/>
      <c r="O936" s="80"/>
      <c r="P936" s="80"/>
    </row>
    <row r="937" ht="15.75" customHeight="1">
      <c r="C937" s="79"/>
      <c r="O937" s="80"/>
      <c r="P937" s="80"/>
    </row>
    <row r="938" ht="15.75" customHeight="1">
      <c r="C938" s="79"/>
      <c r="O938" s="80"/>
      <c r="P938" s="80"/>
    </row>
    <row r="939" ht="15.75" customHeight="1">
      <c r="C939" s="79"/>
      <c r="O939" s="80"/>
      <c r="P939" s="80"/>
    </row>
    <row r="940" ht="15.75" customHeight="1">
      <c r="C940" s="79"/>
      <c r="O940" s="80"/>
      <c r="P940" s="80"/>
    </row>
    <row r="941" ht="15.75" customHeight="1">
      <c r="C941" s="79"/>
      <c r="O941" s="80"/>
      <c r="P941" s="80"/>
    </row>
    <row r="942" ht="15.75" customHeight="1">
      <c r="C942" s="79"/>
      <c r="O942" s="80"/>
      <c r="P942" s="80"/>
    </row>
    <row r="943" ht="15.75" customHeight="1">
      <c r="C943" s="79"/>
      <c r="O943" s="80"/>
      <c r="P943" s="80"/>
    </row>
    <row r="944" ht="15.75" customHeight="1">
      <c r="C944" s="79"/>
      <c r="O944" s="80"/>
      <c r="P944" s="80"/>
    </row>
    <row r="945" ht="15.75" customHeight="1">
      <c r="C945" s="79"/>
      <c r="O945" s="80"/>
      <c r="P945" s="80"/>
    </row>
    <row r="946" ht="15.75" customHeight="1">
      <c r="C946" s="79"/>
      <c r="O946" s="80"/>
      <c r="P946" s="80"/>
    </row>
    <row r="947" ht="15.75" customHeight="1">
      <c r="C947" s="79"/>
      <c r="O947" s="80"/>
      <c r="P947" s="80"/>
    </row>
    <row r="948" ht="15.75" customHeight="1">
      <c r="C948" s="79"/>
      <c r="O948" s="80"/>
      <c r="P948" s="80"/>
    </row>
    <row r="949" ht="15.75" customHeight="1">
      <c r="C949" s="79"/>
      <c r="O949" s="80"/>
      <c r="P949" s="80"/>
    </row>
    <row r="950" ht="15.75" customHeight="1">
      <c r="C950" s="79"/>
      <c r="O950" s="80"/>
      <c r="P950" s="80"/>
    </row>
    <row r="951" ht="15.75" customHeight="1">
      <c r="C951" s="79"/>
      <c r="O951" s="80"/>
      <c r="P951" s="80"/>
    </row>
    <row r="952" ht="15.75" customHeight="1">
      <c r="C952" s="79"/>
      <c r="O952" s="80"/>
      <c r="P952" s="80"/>
    </row>
    <row r="953" ht="15.75" customHeight="1">
      <c r="C953" s="79"/>
      <c r="O953" s="80"/>
      <c r="P953" s="80"/>
    </row>
    <row r="954" ht="15.75" customHeight="1">
      <c r="C954" s="79"/>
      <c r="O954" s="80"/>
      <c r="P954" s="80"/>
    </row>
    <row r="955" ht="15.75" customHeight="1">
      <c r="C955" s="79"/>
      <c r="O955" s="80"/>
      <c r="P955" s="80"/>
    </row>
    <row r="956" ht="15.75" customHeight="1">
      <c r="C956" s="79"/>
      <c r="O956" s="80"/>
      <c r="P956" s="80"/>
    </row>
    <row r="957" ht="15.75" customHeight="1">
      <c r="C957" s="79"/>
      <c r="O957" s="80"/>
      <c r="P957" s="80"/>
    </row>
    <row r="958" ht="15.75" customHeight="1">
      <c r="C958" s="79"/>
      <c r="O958" s="80"/>
      <c r="P958" s="80"/>
    </row>
    <row r="959" ht="15.75" customHeight="1">
      <c r="C959" s="79"/>
      <c r="O959" s="80"/>
      <c r="P959" s="80"/>
    </row>
    <row r="960" ht="15.75" customHeight="1">
      <c r="C960" s="79"/>
      <c r="O960" s="80"/>
      <c r="P960" s="80"/>
    </row>
    <row r="961" ht="15.75" customHeight="1">
      <c r="C961" s="79"/>
      <c r="O961" s="80"/>
      <c r="P961" s="80"/>
    </row>
    <row r="962" ht="15.75" customHeight="1">
      <c r="C962" s="79"/>
      <c r="O962" s="80"/>
      <c r="P962" s="80"/>
    </row>
    <row r="963" ht="15.75" customHeight="1">
      <c r="C963" s="79"/>
      <c r="O963" s="80"/>
      <c r="P963" s="80"/>
    </row>
    <row r="964" ht="15.75" customHeight="1">
      <c r="C964" s="79"/>
      <c r="O964" s="80"/>
      <c r="P964" s="80"/>
    </row>
    <row r="965" ht="15.75" customHeight="1">
      <c r="C965" s="79"/>
      <c r="O965" s="80"/>
      <c r="P965" s="80"/>
    </row>
    <row r="966" ht="15.75" customHeight="1">
      <c r="C966" s="79"/>
      <c r="O966" s="80"/>
      <c r="P966" s="80"/>
    </row>
    <row r="967" ht="15.75" customHeight="1">
      <c r="C967" s="79"/>
      <c r="O967" s="80"/>
      <c r="P967" s="80"/>
    </row>
    <row r="968" ht="15.75" customHeight="1">
      <c r="C968" s="79"/>
      <c r="O968" s="80"/>
      <c r="P968" s="80"/>
    </row>
    <row r="969" ht="15.75" customHeight="1">
      <c r="C969" s="79"/>
      <c r="O969" s="80"/>
      <c r="P969" s="80"/>
    </row>
    <row r="970" ht="15.75" customHeight="1">
      <c r="C970" s="79"/>
      <c r="O970" s="80"/>
      <c r="P970" s="80"/>
    </row>
    <row r="971" ht="15.75" customHeight="1">
      <c r="C971" s="79"/>
      <c r="O971" s="80"/>
      <c r="P971" s="80"/>
    </row>
    <row r="972" ht="15.75" customHeight="1">
      <c r="C972" s="79"/>
      <c r="O972" s="80"/>
      <c r="P972" s="80"/>
    </row>
    <row r="973" ht="15.75" customHeight="1">
      <c r="C973" s="79"/>
      <c r="O973" s="80"/>
      <c r="P973" s="80"/>
    </row>
    <row r="974" ht="15.75" customHeight="1">
      <c r="C974" s="79"/>
      <c r="O974" s="80"/>
      <c r="P974" s="80"/>
    </row>
    <row r="975" ht="15.75" customHeight="1">
      <c r="C975" s="79"/>
      <c r="O975" s="80"/>
      <c r="P975" s="80"/>
    </row>
    <row r="976" ht="15.75" customHeight="1">
      <c r="C976" s="79"/>
      <c r="O976" s="80"/>
      <c r="P976" s="80"/>
    </row>
    <row r="977" ht="15.75" customHeight="1">
      <c r="C977" s="79"/>
      <c r="O977" s="80"/>
      <c r="P977" s="80"/>
    </row>
    <row r="978" ht="15.75" customHeight="1">
      <c r="C978" s="79"/>
      <c r="O978" s="80"/>
      <c r="P978" s="80"/>
    </row>
    <row r="979" ht="15.75" customHeight="1">
      <c r="C979" s="79"/>
      <c r="O979" s="80"/>
      <c r="P979" s="80"/>
    </row>
    <row r="980" ht="15.75" customHeight="1">
      <c r="C980" s="79"/>
      <c r="O980" s="80"/>
      <c r="P980" s="80"/>
    </row>
    <row r="981" ht="15.75" customHeight="1">
      <c r="C981" s="79"/>
      <c r="O981" s="80"/>
      <c r="P981" s="80"/>
    </row>
    <row r="982" ht="15.75" customHeight="1">
      <c r="C982" s="79"/>
      <c r="O982" s="80"/>
      <c r="P982" s="80"/>
    </row>
    <row r="983" ht="15.75" customHeight="1">
      <c r="C983" s="79"/>
      <c r="O983" s="80"/>
      <c r="P983" s="80"/>
    </row>
    <row r="984" ht="15.75" customHeight="1">
      <c r="C984" s="79"/>
      <c r="O984" s="80"/>
      <c r="P984" s="80"/>
    </row>
    <row r="985" ht="15.75" customHeight="1">
      <c r="C985" s="79"/>
      <c r="O985" s="80"/>
      <c r="P985" s="80"/>
    </row>
    <row r="986" ht="15.75" customHeight="1">
      <c r="C986" s="79"/>
      <c r="O986" s="80"/>
      <c r="P986" s="80"/>
    </row>
    <row r="987" ht="15.75" customHeight="1">
      <c r="C987" s="79"/>
      <c r="O987" s="80"/>
      <c r="P987" s="80"/>
    </row>
    <row r="988" ht="15.75" customHeight="1">
      <c r="C988" s="79"/>
      <c r="O988" s="80"/>
      <c r="P988" s="80"/>
    </row>
    <row r="989" ht="15.75" customHeight="1">
      <c r="C989" s="79"/>
      <c r="O989" s="80"/>
      <c r="P989" s="80"/>
    </row>
    <row r="990" ht="15.75" customHeight="1">
      <c r="C990" s="79"/>
      <c r="O990" s="80"/>
      <c r="P990" s="80"/>
    </row>
    <row r="991" ht="15.75" customHeight="1">
      <c r="C991" s="79"/>
      <c r="O991" s="80"/>
      <c r="P991" s="80"/>
    </row>
    <row r="992" ht="15.75" customHeight="1">
      <c r="C992" s="79"/>
      <c r="O992" s="80"/>
      <c r="P992" s="80"/>
    </row>
    <row r="993" ht="15.75" customHeight="1">
      <c r="C993" s="79"/>
      <c r="O993" s="80"/>
      <c r="P993" s="80"/>
    </row>
    <row r="994" ht="15.75" customHeight="1">
      <c r="C994" s="79"/>
      <c r="O994" s="80"/>
      <c r="P994" s="80"/>
    </row>
    <row r="995" ht="15.75" customHeight="1">
      <c r="C995" s="79"/>
      <c r="O995" s="80"/>
      <c r="P995" s="80"/>
    </row>
    <row r="996" ht="15.75" customHeight="1">
      <c r="C996" s="79"/>
      <c r="O996" s="80"/>
      <c r="P996" s="80"/>
    </row>
    <row r="997" ht="15.75" customHeight="1">
      <c r="C997" s="79"/>
      <c r="O997" s="80"/>
      <c r="P997" s="80"/>
    </row>
    <row r="998" ht="15.75" customHeight="1">
      <c r="C998" s="79"/>
      <c r="O998" s="80"/>
      <c r="P998" s="80"/>
    </row>
    <row r="999" ht="15.75" customHeight="1">
      <c r="C999" s="79"/>
      <c r="O999" s="80"/>
      <c r="P999" s="80"/>
    </row>
    <row r="1000" ht="15.75" customHeight="1">
      <c r="C1000" s="79"/>
      <c r="O1000" s="80"/>
      <c r="P1000" s="80"/>
    </row>
  </sheetData>
  <mergeCells count="5">
    <mergeCell ref="H11:H16"/>
    <mergeCell ref="H17:H18"/>
    <mergeCell ref="H20:H24"/>
    <mergeCell ref="H25:H27"/>
    <mergeCell ref="F26:F32"/>
  </mergeCells>
  <printOptions/>
  <pageMargins bottom="0.787401575" footer="0.0" header="0.0" left="0.7" right="0.7" top="0.7874015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3.71"/>
    <col customWidth="1" min="2" max="2" width="14.14"/>
    <col customWidth="1" min="3" max="3" width="38.71"/>
    <col customWidth="1" min="4" max="8" width="10.71"/>
    <col customWidth="1" min="9" max="9" width="35.71"/>
    <col customWidth="1" min="10" max="10" width="10.71"/>
    <col customWidth="1" min="11" max="11" width="13.57"/>
    <col customWidth="1" hidden="1" min="12" max="12" width="38.71"/>
    <col customWidth="1" hidden="1" min="13" max="13" width="32.43"/>
    <col customWidth="1" min="14" max="27" width="10.71"/>
  </cols>
  <sheetData>
    <row r="1">
      <c r="A1" s="48"/>
      <c r="B1" s="47" t="s">
        <v>217</v>
      </c>
      <c r="C1" s="47" t="s">
        <v>208</v>
      </c>
      <c r="D1" s="47" t="s">
        <v>220</v>
      </c>
      <c r="E1" s="47" t="s">
        <v>221</v>
      </c>
      <c r="F1" s="47" t="s">
        <v>222</v>
      </c>
      <c r="G1" s="47" t="s">
        <v>223</v>
      </c>
      <c r="H1" s="47" t="s">
        <v>224</v>
      </c>
      <c r="I1" s="94" t="s">
        <v>225</v>
      </c>
      <c r="J1" s="47" t="s">
        <v>226</v>
      </c>
      <c r="K1" s="47" t="s">
        <v>227</v>
      </c>
      <c r="L1" s="47" t="s">
        <v>228</v>
      </c>
      <c r="M1" s="47" t="s">
        <v>229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>
      <c r="A2" s="95" t="s">
        <v>286</v>
      </c>
      <c r="B2" s="96">
        <v>29.0</v>
      </c>
      <c r="C2" s="47" t="str">
        <f>IF(ISERROR(Draws!L11),"Draw 1 / 1",Draws!L11)</f>
        <v>#10, BOYD / STEGMÜLLER</v>
      </c>
      <c r="D2" s="50">
        <f>IF(ISBLANK(E2),"",IF(E2&gt;E3,1,0) + IF(F2&gt;F3,1,0) + IF(G2&gt;G3,1,0))</f>
        <v>1</v>
      </c>
      <c r="E2" s="51">
        <v>10.0</v>
      </c>
      <c r="F2" s="51">
        <v>15.0</v>
      </c>
      <c r="G2" s="51">
        <v>12.0</v>
      </c>
      <c r="H2" s="51" t="s">
        <v>230</v>
      </c>
      <c r="I2" s="50" t="str">
        <f>Result!B26</f>
        <v>#25, PRINZHORN / SALLMANNSHOFER</v>
      </c>
      <c r="J2" s="53"/>
      <c r="K2" s="53"/>
      <c r="L2" s="47" t="str">
        <f>IF(D2="","Winner #"&amp;B2,IF(D2=2,C2,C3))</f>
        <v>#16, YESSIMOVA / GLANNINGER</v>
      </c>
      <c r="M2" s="47" t="str">
        <f>IF(D2="","Loser #"&amp;B2,IF(D2&lt;2,C2,C3))</f>
        <v>#10, BOYD / STEGMÜLLER</v>
      </c>
      <c r="N2" s="48"/>
      <c r="O2" s="55" t="s">
        <v>209</v>
      </c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>
      <c r="B3" s="97"/>
      <c r="C3" s="47" t="str">
        <f>IF(ISERROR(Draws!L20),"Draw 2 / 1",Draws!L20)</f>
        <v>#16, YESSIMOVA / GLANNINGER</v>
      </c>
      <c r="D3" s="50">
        <f>IF(ISBLANK(E2),"",IF(E2&lt;E3,1,0) + IF(F2&lt;F3,1,0) + IF(G2&lt;G3,1,0))</f>
        <v>2</v>
      </c>
      <c r="E3" s="51">
        <v>15.0</v>
      </c>
      <c r="F3" s="51">
        <v>13.0</v>
      </c>
      <c r="G3" s="51">
        <v>15.0</v>
      </c>
      <c r="H3" s="50"/>
      <c r="I3" s="50"/>
      <c r="J3" s="53"/>
      <c r="K3" s="53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>
      <c r="B4" s="96">
        <v>30.0</v>
      </c>
      <c r="C4" s="47" t="str">
        <f>IF(ISERROR(Draws!L12),"Draw 1 / 2",Draws!L12)</f>
        <v>#15, MATĚJKOVÁ / SANCHEZ</v>
      </c>
      <c r="D4" s="50">
        <f>IF(ISBLANK(E4),"",IF(E4&gt;E5,1,0) + IF(F4&gt;F5,1,0) + IF(G4&gt;G5,1,0))</f>
        <v>2</v>
      </c>
      <c r="E4" s="51">
        <v>15.0</v>
      </c>
      <c r="F4" s="51">
        <v>15.0</v>
      </c>
      <c r="G4" s="50"/>
      <c r="H4" s="51" t="s">
        <v>231</v>
      </c>
      <c r="I4" s="50" t="str">
        <f>Result!B27</f>
        <v>#28, SCHUSTER / MASSIN</v>
      </c>
      <c r="J4" s="53"/>
      <c r="K4" s="53"/>
      <c r="L4" s="47" t="str">
        <f>IF(D4="","Winner #"&amp;B4,IF(D4=2,C4,C5))</f>
        <v>#15, MATĚJKOVÁ / SANCHEZ</v>
      </c>
      <c r="M4" s="47" t="str">
        <f>IF(D4="","Loser #"&amp;B4,IF(D4&lt;2,C4,C5))</f>
        <v>#18, BEYER / SCHINAGL</v>
      </c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>
      <c r="B5" s="97"/>
      <c r="C5" s="47" t="str">
        <f>IF(ISERROR(Draws!L21),"Draw 2 / 2",Draws!L21)</f>
        <v>#18, BEYER / SCHINAGL</v>
      </c>
      <c r="D5" s="50">
        <f>IF(ISBLANK(E4),"",IF(E4&lt;E5,1,0) + IF(F4&lt;F5,1,0) + IF(G4&lt;G5,1,0))</f>
        <v>0</v>
      </c>
      <c r="E5" s="51">
        <v>9.0</v>
      </c>
      <c r="F5" s="51">
        <v>14.0</v>
      </c>
      <c r="G5" s="50"/>
      <c r="H5" s="50"/>
      <c r="I5" s="50"/>
      <c r="J5" s="53"/>
      <c r="K5" s="53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>
      <c r="B6" s="96">
        <v>31.0</v>
      </c>
      <c r="C6" s="47" t="str">
        <f>IF(ISERROR(Draws!L13),"Draw 1 / 3",Draws!L13)</f>
        <v>#20, HAYDN / DÜRNITZHOFER</v>
      </c>
      <c r="D6" s="50">
        <f>IF(ISBLANK(E6),"",IF(E6&gt;E7,1,0) + IF(F6&gt;F7,1,0) + IF(G6&gt;G7,1,0))</f>
        <v>0</v>
      </c>
      <c r="E6" s="51">
        <v>5.0</v>
      </c>
      <c r="F6" s="51">
        <v>6.0</v>
      </c>
      <c r="G6" s="50"/>
      <c r="H6" s="51" t="s">
        <v>232</v>
      </c>
      <c r="I6" s="50" t="str">
        <f>Result!B28</f>
        <v>#21, MARK / WOLF</v>
      </c>
      <c r="J6" s="53"/>
      <c r="K6" s="53"/>
      <c r="L6" s="47" t="str">
        <f>IF(D6="","Winner #"&amp;B6,IF(D6=2,C6,C7))</f>
        <v>#22, PICHLER / GRAF</v>
      </c>
      <c r="M6" s="47" t="str">
        <f>IF(D6="","Loser #"&amp;B6,IF(D6&lt;2,C6,C7))</f>
        <v>#20, HAYDN / DÜRNITZHOFER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>
      <c r="B7" s="97"/>
      <c r="C7" s="47" t="str">
        <f>IF(ISERROR(Draws!L22),"Draw 2 / 3",Draws!L22)</f>
        <v>#22, PICHLER / GRAF</v>
      </c>
      <c r="D7" s="50">
        <f>IF(ISBLANK(E6),"",IF(E6&lt;E7,1,0) + IF(F6&lt;F7,1,0) + IF(G6&lt;G7,1,0))</f>
        <v>2</v>
      </c>
      <c r="E7" s="51">
        <v>15.0</v>
      </c>
      <c r="F7" s="51">
        <v>15.0</v>
      </c>
      <c r="G7" s="50"/>
      <c r="H7" s="50"/>
      <c r="I7" s="50"/>
      <c r="J7" s="53"/>
      <c r="K7" s="53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>
      <c r="B8" s="96">
        <v>32.0</v>
      </c>
      <c r="C8" s="47" t="str">
        <f>IF(ISERROR(Draws!L14),"Draw 1 / 4",Draws!L14)</f>
        <v>#11, HEISZENBERGER / WAJDA</v>
      </c>
      <c r="D8" s="50">
        <f>IF(ISBLANK(E8),"",IF(E8&gt;E9,1,0) + IF(F8&gt;F9,1,0) + IF(G8&gt;G9,1,0))</f>
        <v>2</v>
      </c>
      <c r="E8" s="51">
        <v>15.0</v>
      </c>
      <c r="F8" s="51">
        <v>15.0</v>
      </c>
      <c r="G8" s="50"/>
      <c r="H8" s="51" t="s">
        <v>233</v>
      </c>
      <c r="I8" s="50" t="str">
        <f>Result!B29</f>
        <v>#24, SCHENK / SCHWARZ</v>
      </c>
      <c r="J8" s="53"/>
      <c r="K8" s="53"/>
      <c r="L8" s="47" t="str">
        <f>IF(D8="","Winner #"&amp;B8,IF(D8=2,C8,C9))</f>
        <v>#11, HEISZENBERGER / WAJDA</v>
      </c>
      <c r="M8" s="47" t="str">
        <f>IF(D8="","Loser #"&amp;B8,IF(D8&lt;2,C8,C9))</f>
        <v>#19, FERSTL-SCHMID / AIGNER</v>
      </c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>
      <c r="B9" s="97"/>
      <c r="C9" s="47" t="str">
        <f>IF(ISERROR(Draws!L25),"Draw 2 / 4",Draws!L25)</f>
        <v>#19, FERSTL-SCHMID / AIGNER</v>
      </c>
      <c r="D9" s="50">
        <f>IF(ISBLANK(E8),"",IF(E8&lt;E9,1,0) + IF(F8&lt;F9,1,0) + IF(G8&lt;G9,1,0))</f>
        <v>0</v>
      </c>
      <c r="E9" s="51">
        <v>10.0</v>
      </c>
      <c r="F9" s="51">
        <v>6.0</v>
      </c>
      <c r="G9" s="50"/>
      <c r="H9" s="50"/>
      <c r="I9" s="50"/>
      <c r="J9" s="53"/>
      <c r="K9" s="53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>
      <c r="B10" s="96">
        <v>33.0</v>
      </c>
      <c r="C10" s="47" t="str">
        <f>IF(ISERROR(Draws!L15),"Draw 1 / 5",Draws!L15)</f>
        <v>#14, TRIBELNIG / WEINDL</v>
      </c>
      <c r="D10" s="50">
        <f>IF(ISBLANK(E10),"",IF(E10&gt;E11,1,0) + IF(F10&gt;F11,1,0) + IF(G10&gt;G11,1,0))</f>
        <v>2</v>
      </c>
      <c r="E10" s="51">
        <v>15.0</v>
      </c>
      <c r="F10" s="51">
        <v>14.0</v>
      </c>
      <c r="G10" s="51">
        <v>15.0</v>
      </c>
      <c r="H10" s="51" t="s">
        <v>230</v>
      </c>
      <c r="I10" s="50" t="str">
        <f>M2</f>
        <v>#10, BOYD / STEGMÜLLER</v>
      </c>
      <c r="J10" s="53"/>
      <c r="K10" s="53"/>
      <c r="L10" s="47" t="str">
        <f>IF(D10="","Winner #"&amp;B10,IF(D10=2,C10,C11))</f>
        <v>#14, TRIBELNIG / WEINDL</v>
      </c>
      <c r="M10" s="47" t="str">
        <f>IF(D10="","Loser #"&amp;B10,IF(D10&lt;2,C10,C11))</f>
        <v>#23, GIFFINGER / FREY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>
      <c r="B11" s="97"/>
      <c r="C11" s="47" t="str">
        <f>IF(ISERROR(Draws!L24),"Draw 2 / 5",Draws!L24)</f>
        <v>#23, GIFFINGER / FREY</v>
      </c>
      <c r="D11" s="50">
        <f>IF(ISBLANK(E10),"",IF(E10&lt;E11,1,0) + IF(F10&lt;F11,1,0) + IF(G10&lt;G11,1,0))</f>
        <v>1</v>
      </c>
      <c r="E11" s="51">
        <v>8.0</v>
      </c>
      <c r="F11" s="51">
        <v>16.0</v>
      </c>
      <c r="G11" s="51">
        <v>9.0</v>
      </c>
      <c r="H11" s="50"/>
      <c r="I11" s="50"/>
      <c r="J11" s="53"/>
      <c r="K11" s="53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>
      <c r="B12" s="96">
        <v>34.0</v>
      </c>
      <c r="C12" s="47" t="str">
        <f>IF(ISERROR(Draws!L16),"Draw 1 / 6",Draws!L16)</f>
        <v>#12, HAGER / WICHO</v>
      </c>
      <c r="D12" s="50">
        <f>IF(ISBLANK(E12),"",IF(E12&gt;E13,1,0) + IF(F12&gt;F13,1,0) + IF(G12&gt;G13,1,0))</f>
        <v>1</v>
      </c>
      <c r="E12" s="51">
        <v>15.0</v>
      </c>
      <c r="F12" s="51">
        <v>11.0</v>
      </c>
      <c r="G12" s="51">
        <v>9.0</v>
      </c>
      <c r="H12" s="51" t="s">
        <v>231</v>
      </c>
      <c r="I12" s="50" t="str">
        <f>M4</f>
        <v>#18, BEYER / SCHINAGL</v>
      </c>
      <c r="J12" s="53"/>
      <c r="K12" s="53"/>
      <c r="L12" s="47" t="str">
        <f>IF(D12="","Winner #"&amp;B12,IF(D12=2,C12,C13))</f>
        <v>#27, MACINKOVIC / WAGNER</v>
      </c>
      <c r="M12" s="47" t="str">
        <f>IF(D12="","Loser #"&amp;B12,IF(D12&lt;2,C12,C13))</f>
        <v>#12, HAGER / WICHO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>
      <c r="B13" s="97"/>
      <c r="C13" s="47" t="str">
        <f>IF(ISERROR(Draws!L27),"Draw 2 / 6",Draws!L27)</f>
        <v>#27, MACINKOVIC / WAGNER</v>
      </c>
      <c r="D13" s="50">
        <f>IF(ISBLANK(E12),"",IF(E12&lt;E13,1,0) + IF(F12&lt;F13,1,0) + IF(G12&lt;G13,1,0))</f>
        <v>2</v>
      </c>
      <c r="E13" s="51">
        <v>11.0</v>
      </c>
      <c r="F13" s="51">
        <v>15.0</v>
      </c>
      <c r="G13" s="51">
        <v>15.0</v>
      </c>
      <c r="H13" s="50"/>
      <c r="I13" s="50"/>
      <c r="J13" s="53"/>
      <c r="K13" s="53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>
      <c r="B14" s="96">
        <v>35.0</v>
      </c>
      <c r="C14" s="47" t="str">
        <f>IF(ISERROR(Draws!L17),"Draw 1 / 7",Draws!L17)</f>
        <v>#7, HOCHREITER / WINDISCH</v>
      </c>
      <c r="D14" s="50">
        <f>IF(ISBLANK(E14),"",IF(E14&gt;E15,1,0) + IF(F14&gt;F15,1,0) + IF(G14&gt;G15,1,0))</f>
        <v>2</v>
      </c>
      <c r="E14" s="51">
        <v>15.0</v>
      </c>
      <c r="F14" s="51">
        <v>15.0</v>
      </c>
      <c r="G14" s="50"/>
      <c r="H14" s="51" t="s">
        <v>232</v>
      </c>
      <c r="I14" s="50" t="str">
        <f>M6</f>
        <v>#20, HAYDN / DÜRNITZHOFER</v>
      </c>
      <c r="J14" s="53"/>
      <c r="K14" s="53"/>
      <c r="L14" s="47" t="str">
        <f>IF(D14="","Winner #"&amp;B14,IF(D14=2,C14,C15))</f>
        <v>#7, HOCHREITER / WINDISCH</v>
      </c>
      <c r="M14" s="47" t="str">
        <f>IF(D14="","Loser #"&amp;B14,IF(D14&lt;2,C14,C15))</f>
        <v>#9, PARKANYI / FAVARETTO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>
      <c r="B15" s="97"/>
      <c r="C15" s="47" t="str">
        <f>IF(ISERROR(Draws!L26),"Draw 2 / 7",Draws!L26)</f>
        <v>#9, PARKANYI / FAVARETTO</v>
      </c>
      <c r="D15" s="50">
        <f>IF(ISBLANK(E14),"",IF(E14&lt;E15,1,0) + IF(F14&lt;F15,1,0) + IF(G14&lt;G15,1,0))</f>
        <v>0</v>
      </c>
      <c r="E15" s="51">
        <v>9.0</v>
      </c>
      <c r="F15" s="51">
        <v>8.0</v>
      </c>
      <c r="G15" s="50"/>
      <c r="H15" s="50"/>
      <c r="I15" s="50"/>
      <c r="J15" s="53"/>
      <c r="K15" s="53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>
      <c r="B16" s="96">
        <v>36.0</v>
      </c>
      <c r="C16" s="47" t="str">
        <f>IF(ISERROR(Draws!L18),"Draw 1 / 8",Draws!L18)</f>
        <v>#17, PAUMANN / ANGERER</v>
      </c>
      <c r="D16" s="50">
        <f>IF(ISBLANK(E16),"",IF(E16&gt;E17,1,0) + IF(F16&gt;F17,1,0) + IF(G16&gt;G17,1,0))</f>
        <v>2</v>
      </c>
      <c r="E16" s="51">
        <v>15.0</v>
      </c>
      <c r="F16" s="51">
        <v>15.0</v>
      </c>
      <c r="G16" s="50"/>
      <c r="H16" s="51" t="s">
        <v>233</v>
      </c>
      <c r="I16" s="50" t="str">
        <f>M8</f>
        <v>#19, FERSTL-SCHMID / AIGNER</v>
      </c>
      <c r="J16" s="53"/>
      <c r="K16" s="53"/>
      <c r="L16" s="47" t="str">
        <f>IF(D16="","Winner #"&amp;B16,IF(D16=2,C16,C17))</f>
        <v>#17, PAUMANN / ANGERER</v>
      </c>
      <c r="M16" s="47" t="str">
        <f>IF(D16="","Loser #"&amp;B16,IF(D16&lt;2,C16,C17))</f>
        <v>#26, KAMIENIARZ / SAMS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>
      <c r="B17" s="97"/>
      <c r="C17" s="47" t="str">
        <f>IF(ISERROR(Draws!L23),"Draw 2 / 8",Draws!L23)</f>
        <v>#26, KAMIENIARZ / SAMS</v>
      </c>
      <c r="D17" s="50">
        <f>IF(ISBLANK(E16),"",IF(E16&lt;E17,1,0) + IF(F16&lt;F17,1,0) + IF(G16&lt;G17,1,0))</f>
        <v>0</v>
      </c>
      <c r="E17" s="51">
        <v>7.0</v>
      </c>
      <c r="F17" s="51">
        <v>11.0</v>
      </c>
      <c r="G17" s="50"/>
      <c r="H17" s="50"/>
      <c r="I17" s="50"/>
      <c r="J17" s="53"/>
      <c r="K17" s="53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>
      <c r="A18" s="95" t="s">
        <v>287</v>
      </c>
      <c r="B18" s="96">
        <v>37.0</v>
      </c>
      <c r="C18" s="47" t="str">
        <f>IF(ISERROR(Draws!L2),"Seed #1",Draws!L2)</f>
        <v>#1, BAUER / HASELSTEINER</v>
      </c>
      <c r="D18" s="50">
        <f>IF(ISBLANK(E18),"",IF(E18&gt;E19,1,0) + IF(F18&gt;F19,1,0) + IF(G18&gt;G19,1,0))</f>
        <v>2</v>
      </c>
      <c r="E18" s="51">
        <v>15.0</v>
      </c>
      <c r="F18" s="51">
        <v>15.0</v>
      </c>
      <c r="G18" s="50"/>
      <c r="H18" s="51" t="s">
        <v>230</v>
      </c>
      <c r="I18" s="50" t="str">
        <f>M10</f>
        <v>#23, GIFFINGER / FREY</v>
      </c>
      <c r="J18" s="53"/>
      <c r="K18" s="53"/>
      <c r="L18" s="47" t="str">
        <f>IF(D18="","Winner #"&amp;B18,IF(D18=2,C18,C19))</f>
        <v>#1, BAUER / HASELSTEINER</v>
      </c>
      <c r="M18" s="47" t="str">
        <f>IF(D18="","Loser #"&amp;B18,IF(D18&lt;2,C18,C19))</f>
        <v>#16, YESSIMOVA / GLANNINGER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>
      <c r="B19" s="97"/>
      <c r="C19" s="47" t="str">
        <f>L2</f>
        <v>#16, YESSIMOVA / GLANNINGER</v>
      </c>
      <c r="D19" s="50">
        <f>IF(ISBLANK(E18),"",IF(E18&lt;E19,1,0) + IF(F18&lt;F19,1,0) + IF(G18&lt;G19,1,0))</f>
        <v>0</v>
      </c>
      <c r="E19" s="51">
        <v>9.0</v>
      </c>
      <c r="F19" s="51">
        <v>9.0</v>
      </c>
      <c r="G19" s="50"/>
      <c r="H19" s="50"/>
      <c r="I19" s="50"/>
      <c r="J19" s="53"/>
      <c r="K19" s="53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>
      <c r="B20" s="96">
        <v>38.0</v>
      </c>
      <c r="C20" s="47" t="str">
        <f>IF(ISERROR(Draws!L9),"Seed #8",Draws!L9)</f>
        <v>#13, SZUDA / STÜRZ</v>
      </c>
      <c r="D20" s="50">
        <f>IF(ISBLANK(E20),"",IF(E20&gt;E21,1,0) + IF(F20&gt;F21,1,0) + IF(G20&gt;G21,1,0))</f>
        <v>0</v>
      </c>
      <c r="E20" s="51">
        <v>9.0</v>
      </c>
      <c r="F20" s="51">
        <v>8.0</v>
      </c>
      <c r="G20" s="50"/>
      <c r="H20" s="51" t="s">
        <v>231</v>
      </c>
      <c r="I20" s="50" t="str">
        <f>M12</f>
        <v>#12, HAGER / WICHO</v>
      </c>
      <c r="J20" s="53"/>
      <c r="K20" s="53"/>
      <c r="L20" s="47" t="str">
        <f>IF(D20="","Winner #"&amp;B20,IF(D20=2,C20,C21))</f>
        <v>#15, MATĚJKOVÁ / SANCHEZ</v>
      </c>
      <c r="M20" s="47" t="str">
        <f>IF(D20="","Loser #"&amp;B20,IF(D20&lt;2,C20,C21))</f>
        <v>#13, SZUDA / STÜRZ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>
      <c r="B21" s="97"/>
      <c r="C21" s="47" t="str">
        <f>L4</f>
        <v>#15, MATĚJKOVÁ / SANCHEZ</v>
      </c>
      <c r="D21" s="50">
        <f>IF(ISBLANK(E20),"",IF(E20&lt;E21,1,0) + IF(F20&lt;F21,1,0) + IF(G20&lt;G21,1,0))</f>
        <v>2</v>
      </c>
      <c r="E21" s="51">
        <v>15.0</v>
      </c>
      <c r="F21" s="51">
        <v>15.0</v>
      </c>
      <c r="G21" s="50"/>
      <c r="H21" s="50"/>
      <c r="I21" s="50"/>
      <c r="J21" s="53"/>
      <c r="K21" s="53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>
      <c r="B22" s="96">
        <v>39.0</v>
      </c>
      <c r="C22" s="47" t="str">
        <f>IF(ISERROR(Draws!L6),"Seed #5",Draws!L6)</f>
        <v>#5, BISANZ / HAMMARBERG</v>
      </c>
      <c r="D22" s="50">
        <f>IF(ISBLANK(E22),"",IF(E22&gt;E23,1,0) + IF(F22&gt;F23,1,0) + IF(G22&gt;G23,1,0))</f>
        <v>2</v>
      </c>
      <c r="E22" s="51">
        <v>15.0</v>
      </c>
      <c r="F22" s="51">
        <v>11.0</v>
      </c>
      <c r="G22" s="51">
        <v>15.0</v>
      </c>
      <c r="H22" s="51" t="s">
        <v>232</v>
      </c>
      <c r="I22" s="50" t="str">
        <f>M14</f>
        <v>#9, PARKANYI / FAVARETTO</v>
      </c>
      <c r="J22" s="53"/>
      <c r="K22" s="53"/>
      <c r="L22" s="47" t="str">
        <f>IF(D22="","Winner #"&amp;B22,IF(D22=2,C22,C23))</f>
        <v>#5, BISANZ / HAMMARBERG</v>
      </c>
      <c r="M22" s="47" t="str">
        <f>IF(D22="","Loser #"&amp;B22,IF(D22&lt;2,C22,C23))</f>
        <v>#22, PICHLER / GRAF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</row>
    <row r="23">
      <c r="B23" s="97"/>
      <c r="C23" s="47" t="str">
        <f>L6</f>
        <v>#22, PICHLER / GRAF</v>
      </c>
      <c r="D23" s="50">
        <f>IF(ISBLANK(E22),"",IF(E22&lt;E23,1,0) + IF(F22&lt;F23,1,0) + IF(G22&lt;G23,1,0))</f>
        <v>1</v>
      </c>
      <c r="E23" s="51">
        <v>11.0</v>
      </c>
      <c r="F23" s="51">
        <v>15.0</v>
      </c>
      <c r="G23" s="51">
        <v>9.0</v>
      </c>
      <c r="H23" s="50"/>
      <c r="I23" s="50"/>
      <c r="J23" s="53"/>
      <c r="K23" s="53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>
      <c r="B24" s="96">
        <v>40.0</v>
      </c>
      <c r="C24" s="47" t="str">
        <f>IF(ISERROR(Draws!L5),"Seed #4",Draws!L5)</f>
        <v>#3, HOFSTETTER / SHKARUPA</v>
      </c>
      <c r="D24" s="50">
        <f>IF(ISBLANK(E24),"",IF(E24&gt;E25,1,0) + IF(F24&gt;F25,1,0) + IF(G24&gt;G25,1,0))</f>
        <v>2</v>
      </c>
      <c r="E24" s="51">
        <v>15.0</v>
      </c>
      <c r="F24" s="51">
        <v>15.0</v>
      </c>
      <c r="G24" s="50"/>
      <c r="H24" s="51" t="s">
        <v>233</v>
      </c>
      <c r="I24" s="50" t="str">
        <f>M16</f>
        <v>#26, KAMIENIARZ / SAMS</v>
      </c>
      <c r="J24" s="53"/>
      <c r="K24" s="53"/>
      <c r="L24" s="47" t="str">
        <f>IF(D24="","Winner #"&amp;B24,IF(D24=2,C24,C25))</f>
        <v>#3, HOFSTETTER / SHKARUPA</v>
      </c>
      <c r="M24" s="47" t="str">
        <f>IF(D24="","Loser #"&amp;B24,IF(D24&lt;2,C24,C25))</f>
        <v>#11, HEISZENBERGER / WAJDA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>
      <c r="B25" s="97"/>
      <c r="C25" s="47" t="str">
        <f>L8</f>
        <v>#11, HEISZENBERGER / WAJDA</v>
      </c>
      <c r="D25" s="50">
        <f>IF(ISBLANK(E24),"",IF(E24&lt;E25,1,0) + IF(F24&lt;F25,1,0) + IF(G24&lt;G25,1,0))</f>
        <v>0</v>
      </c>
      <c r="E25" s="51">
        <v>11.0</v>
      </c>
      <c r="F25" s="51">
        <v>12.0</v>
      </c>
      <c r="G25" s="50"/>
      <c r="H25" s="50"/>
      <c r="I25" s="50"/>
      <c r="J25" s="53"/>
      <c r="K25" s="53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</row>
    <row r="26">
      <c r="B26" s="96">
        <v>41.0</v>
      </c>
      <c r="C26" s="47" t="str">
        <f>IF(ISERROR(Draws!L4),"Seed #3",Draws!L4)</f>
        <v>#4, KREMSER / MASCHERBAUER</v>
      </c>
      <c r="D26" s="50">
        <f>IF(ISBLANK(E26),"",IF(E26&gt;E27,1,0) + IF(F26&gt;F27,1,0) + IF(G26&gt;G27,1,0))</f>
        <v>2</v>
      </c>
      <c r="E26" s="51">
        <v>15.0</v>
      </c>
      <c r="F26" s="51">
        <v>15.0</v>
      </c>
      <c r="G26" s="50"/>
      <c r="H26" s="51" t="s">
        <v>230</v>
      </c>
      <c r="I26" s="50" t="str">
        <f>M18</f>
        <v>#16, YESSIMOVA / GLANNINGER</v>
      </c>
      <c r="J26" s="53"/>
      <c r="K26" s="53"/>
      <c r="L26" s="47" t="str">
        <f>IF(D26="","Winner #"&amp;B26,IF(D26=2,C26,C27))</f>
        <v>#4, KREMSER / MASCHERBAUER</v>
      </c>
      <c r="M26" s="47" t="str">
        <f>IF(D26="","Loser #"&amp;B26,IF(D26&lt;2,C26,C27))</f>
        <v>#14, TRIBELNIG / WEINDL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>
      <c r="B27" s="97"/>
      <c r="C27" s="47" t="str">
        <f>L10</f>
        <v>#14, TRIBELNIG / WEINDL</v>
      </c>
      <c r="D27" s="50">
        <f>IF(ISBLANK(E26),"",IF(E26&lt;E27,1,0) + IF(F26&lt;F27,1,0) + IF(G26&lt;G27,1,0))</f>
        <v>0</v>
      </c>
      <c r="E27" s="51">
        <v>10.0</v>
      </c>
      <c r="F27" s="51">
        <v>8.0</v>
      </c>
      <c r="G27" s="50"/>
      <c r="H27" s="50"/>
      <c r="I27" s="50"/>
      <c r="J27" s="53"/>
      <c r="K27" s="53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</row>
    <row r="28">
      <c r="B28" s="96">
        <v>42.0</v>
      </c>
      <c r="C28" s="47" t="str">
        <f>IF(ISERROR(Draws!L7),"Seed #6",Draws!L7)</f>
        <v>#6, SCHLAX / WAGNER</v>
      </c>
      <c r="D28" s="50">
        <f>IF(ISBLANK(E28),"",IF(E28&gt;E29,1,0) + IF(F28&gt;F29,1,0) + IF(G28&gt;G29,1,0))</f>
        <v>2</v>
      </c>
      <c r="E28" s="51">
        <v>15.0</v>
      </c>
      <c r="F28" s="51">
        <v>15.0</v>
      </c>
      <c r="G28" s="50"/>
      <c r="H28" s="51" t="s">
        <v>231</v>
      </c>
      <c r="I28" s="50"/>
      <c r="J28" s="53"/>
      <c r="K28" s="53"/>
      <c r="L28" s="47" t="str">
        <f>IF(D28="","Winner #"&amp;B28,IF(D28=2,C28,C29))</f>
        <v>#6, SCHLAX / WAGNER</v>
      </c>
      <c r="M28" s="47" t="str">
        <f>IF(D28="","Loser #"&amp;B28,IF(D28&lt;2,C28,C29))</f>
        <v>#27, MACINKOVIC / WAGNER</v>
      </c>
      <c r="N28" s="55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</row>
    <row r="29">
      <c r="B29" s="97"/>
      <c r="C29" s="47" t="str">
        <f>L12</f>
        <v>#27, MACINKOVIC / WAGNER</v>
      </c>
      <c r="D29" s="50">
        <f>IF(ISBLANK(E28),"",IF(E28&lt;E29,1,0) + IF(F28&lt;F29,1,0) + IF(G28&lt;G29,1,0))</f>
        <v>0</v>
      </c>
      <c r="E29" s="51">
        <v>0.0</v>
      </c>
      <c r="F29" s="51">
        <v>0.0</v>
      </c>
      <c r="G29" s="50"/>
      <c r="H29" s="50"/>
      <c r="I29" s="50"/>
      <c r="J29" s="53"/>
      <c r="K29" s="53"/>
      <c r="L29" s="48"/>
      <c r="M29" s="48"/>
      <c r="N29" s="55" t="s">
        <v>288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</row>
    <row r="30">
      <c r="B30" s="96">
        <v>43.0</v>
      </c>
      <c r="C30" s="47" t="str">
        <f>IF(ISERROR(Draws!L8),"Seed #7",Draws!L8)</f>
        <v>#8, PANY / PALENCZAT</v>
      </c>
      <c r="D30" s="50">
        <f>IF(ISBLANK(E30),"",IF(E30&gt;E31,1,0) + IF(F30&gt;F31,1,0) + IF(G30&gt;G31,1,0))</f>
        <v>2</v>
      </c>
      <c r="E30" s="51">
        <v>17.0</v>
      </c>
      <c r="F30" s="51">
        <v>15.0</v>
      </c>
      <c r="G30" s="50"/>
      <c r="H30" s="51" t="s">
        <v>232</v>
      </c>
      <c r="I30" s="50" t="str">
        <f>M22</f>
        <v>#22, PICHLER / GRAF</v>
      </c>
      <c r="J30" s="53"/>
      <c r="K30" s="53"/>
      <c r="L30" s="47" t="str">
        <f>IF(D30="","Winner #"&amp;B30,IF(D30=2,C30,C31))</f>
        <v>#8, PANY / PALENCZAT</v>
      </c>
      <c r="M30" s="47" t="str">
        <f>IF(D30="","Loser #"&amp;B30,IF(D30&lt;2,C30,C31))</f>
        <v>#7, HOCHREITER / WINDISCH</v>
      </c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</row>
    <row r="31">
      <c r="B31" s="97"/>
      <c r="C31" s="47" t="str">
        <f>L14</f>
        <v>#7, HOCHREITER / WINDISCH</v>
      </c>
      <c r="D31" s="50">
        <f>IF(ISBLANK(E30),"",IF(E30&lt;E31,1,0) + IF(F30&lt;F31,1,0) + IF(G30&lt;G31,1,0))</f>
        <v>0</v>
      </c>
      <c r="E31" s="51">
        <v>15.0</v>
      </c>
      <c r="F31" s="51">
        <v>9.0</v>
      </c>
      <c r="G31" s="50"/>
      <c r="H31" s="50"/>
      <c r="I31" s="50"/>
      <c r="J31" s="53"/>
      <c r="K31" s="53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</row>
    <row r="32">
      <c r="B32" s="96">
        <v>44.0</v>
      </c>
      <c r="C32" s="47" t="str">
        <f>IF(ISERROR(Draws!L3),"Seed #2",Draws!L3)</f>
        <v>#2, ELSNER / PFAU</v>
      </c>
      <c r="D32" s="50">
        <f>IF(ISBLANK(E32),"",IF(E32&gt;E33,1,0) + IF(F32&gt;F33,1,0) + IF(G32&gt;G33,1,0))</f>
        <v>2</v>
      </c>
      <c r="E32" s="51">
        <v>15.0</v>
      </c>
      <c r="F32" s="51">
        <v>15.0</v>
      </c>
      <c r="G32" s="50"/>
      <c r="H32" s="51" t="s">
        <v>233</v>
      </c>
      <c r="I32" s="50" t="str">
        <f>M24</f>
        <v>#11, HEISZENBERGER / WAJDA</v>
      </c>
      <c r="J32" s="53"/>
      <c r="K32" s="53"/>
      <c r="L32" s="47" t="str">
        <f>IF(D32="","Winner #"&amp;B32,IF(D32=2,C32,C33))</f>
        <v>#2, ELSNER / PFAU</v>
      </c>
      <c r="M32" s="47" t="str">
        <f>IF(D32="","Loser #"&amp;B32,IF(D32&lt;2,C32,C33))</f>
        <v>#17, PAUMANN / ANGERER</v>
      </c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>
      <c r="B33" s="97"/>
      <c r="C33" s="47" t="str">
        <f>L16</f>
        <v>#17, PAUMANN / ANGERER</v>
      </c>
      <c r="D33" s="50">
        <f>IF(ISBLANK(E32),"",IF(E32&lt;E33,1,0) + IF(F32&lt;F33,1,0) + IF(G32&lt;G33,1,0))</f>
        <v>0</v>
      </c>
      <c r="E33" s="51">
        <v>9.0</v>
      </c>
      <c r="F33" s="51">
        <v>7.0</v>
      </c>
      <c r="G33" s="50"/>
      <c r="H33" s="50"/>
      <c r="I33" s="50"/>
      <c r="J33" s="53"/>
      <c r="K33" s="53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>
      <c r="A34" s="95" t="s">
        <v>289</v>
      </c>
      <c r="B34" s="96">
        <v>45.0</v>
      </c>
      <c r="C34" s="47" t="str">
        <f>L18</f>
        <v>#1, BAUER / HASELSTEINER</v>
      </c>
      <c r="D34" s="50">
        <f>IF(ISBLANK(E34),"",IF(E34&gt;E35,1,0) + IF(F34&gt;F35,1,0) + IF(G34&gt;G35,1,0))</f>
        <v>2</v>
      </c>
      <c r="E34" s="51">
        <v>15.0</v>
      </c>
      <c r="F34" s="51">
        <v>15.0</v>
      </c>
      <c r="G34" s="50"/>
      <c r="H34" s="51" t="s">
        <v>230</v>
      </c>
      <c r="I34" s="50" t="str">
        <f>M26</f>
        <v>#14, TRIBELNIG / WEINDL</v>
      </c>
      <c r="J34" s="53"/>
      <c r="K34" s="53"/>
      <c r="L34" s="47" t="str">
        <f>IF(D34="","Winner #"&amp;B34,IF(D34=2,C34,C35))</f>
        <v>#1, BAUER / HASELSTEINER</v>
      </c>
      <c r="M34" s="47" t="str">
        <f>IF(D34="","Loser #"&amp;B34,IF(D34&lt;2,C34,C35))</f>
        <v>#15, MATĚJKOVÁ / SANCHEZ</v>
      </c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>
      <c r="B35" s="97"/>
      <c r="C35" s="47" t="str">
        <f>L20</f>
        <v>#15, MATĚJKOVÁ / SANCHEZ</v>
      </c>
      <c r="D35" s="50">
        <f>IF(ISBLANK(E34),"",IF(E34&lt;E35,1,0) + IF(F34&lt;F35,1,0) + IF(G34&lt;G35,1,0))</f>
        <v>0</v>
      </c>
      <c r="E35" s="51">
        <v>10.0</v>
      </c>
      <c r="F35" s="51">
        <v>6.0</v>
      </c>
      <c r="G35" s="50"/>
      <c r="H35" s="50"/>
      <c r="I35" s="50"/>
      <c r="J35" s="53"/>
      <c r="K35" s="53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>
      <c r="B36" s="96">
        <v>46.0</v>
      </c>
      <c r="C36" s="47" t="str">
        <f>L22</f>
        <v>#5, BISANZ / HAMMARBERG</v>
      </c>
      <c r="D36" s="50">
        <f>IF(ISBLANK(E36),"",IF(E36&gt;E37,1,0) + IF(F36&gt;F37,1,0) + IF(G36&gt;G37,1,0))</f>
        <v>1</v>
      </c>
      <c r="E36" s="51">
        <v>15.0</v>
      </c>
      <c r="F36" s="51">
        <v>14.0</v>
      </c>
      <c r="G36" s="51">
        <v>15.0</v>
      </c>
      <c r="H36" s="51" t="s">
        <v>231</v>
      </c>
      <c r="I36" s="50" t="str">
        <f>M20</f>
        <v>#13, SZUDA / STÜRZ</v>
      </c>
      <c r="J36" s="53"/>
      <c r="K36" s="53"/>
      <c r="L36" s="47" t="str">
        <f>IF(D36="","Winner #"&amp;B36,IF(D36=2,C36,C37))</f>
        <v>#3, HOFSTETTER / SHKARUPA</v>
      </c>
      <c r="M36" s="47" t="str">
        <f>IF(D36="","Loser #"&amp;B36,IF(D36&lt;2,C36,C37))</f>
        <v>#5, BISANZ / HAMMARBERG</v>
      </c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>
      <c r="B37" s="97"/>
      <c r="C37" s="47" t="str">
        <f>L24</f>
        <v>#3, HOFSTETTER / SHKARUPA</v>
      </c>
      <c r="D37" s="50">
        <f>IF(ISBLANK(E36),"",IF(E36&lt;E37,1,0) + IF(F36&lt;F37,1,0) + IF(G36&lt;G37,1,0))</f>
        <v>2</v>
      </c>
      <c r="E37" s="51">
        <v>12.0</v>
      </c>
      <c r="F37" s="51">
        <v>16.0</v>
      </c>
      <c r="G37" s="51">
        <v>17.0</v>
      </c>
      <c r="H37" s="50"/>
      <c r="I37" s="50"/>
      <c r="J37" s="53"/>
      <c r="K37" s="53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>
      <c r="B38" s="96">
        <v>47.0</v>
      </c>
      <c r="C38" s="47" t="str">
        <f>L26</f>
        <v>#4, KREMSER / MASCHERBAUER</v>
      </c>
      <c r="D38" s="50">
        <f>IF(ISBLANK(E38),"",IF(E38&gt;E39,1,0) + IF(F38&gt;F39,1,0) + IF(G38&gt;G39,1,0))</f>
        <v>2</v>
      </c>
      <c r="E38" s="51">
        <v>12.0</v>
      </c>
      <c r="F38" s="51">
        <v>16.0</v>
      </c>
      <c r="G38" s="51">
        <v>15.0</v>
      </c>
      <c r="H38" s="51" t="s">
        <v>232</v>
      </c>
      <c r="I38" s="50" t="str">
        <f>M30</f>
        <v>#7, HOCHREITER / WINDISCH</v>
      </c>
      <c r="J38" s="53"/>
      <c r="K38" s="53"/>
      <c r="L38" s="47" t="str">
        <f>IF(D38="","Winner #"&amp;B38,IF(D38=2,C38,C39))</f>
        <v>#4, KREMSER / MASCHERBAUER</v>
      </c>
      <c r="M38" s="47" t="str">
        <f>IF(D38="","Loser #"&amp;B38,IF(D38&lt;2,C38,C39))</f>
        <v>#6, SCHLAX / WAGNER</v>
      </c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>
      <c r="B39" s="97"/>
      <c r="C39" s="47" t="str">
        <f>L28</f>
        <v>#6, SCHLAX / WAGNER</v>
      </c>
      <c r="D39" s="50">
        <f>IF(ISBLANK(E38),"",IF(E38&lt;E39,1,0) + IF(F38&lt;F39,1,0) + IF(G38&lt;G39,1,0))</f>
        <v>1</v>
      </c>
      <c r="E39" s="51">
        <v>15.0</v>
      </c>
      <c r="F39" s="51">
        <v>14.0</v>
      </c>
      <c r="G39" s="51">
        <v>13.0</v>
      </c>
      <c r="H39" s="50"/>
      <c r="I39" s="50"/>
      <c r="J39" s="53"/>
      <c r="K39" s="53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</row>
    <row r="40">
      <c r="B40" s="96">
        <v>48.0</v>
      </c>
      <c r="C40" s="47" t="str">
        <f>L30</f>
        <v>#8, PANY / PALENCZAT</v>
      </c>
      <c r="D40" s="50">
        <f>IF(ISBLANK(E40),"",IF(E40&gt;E41,1,0) + IF(F40&gt;F41,1,0) + IF(G40&gt;G41,1,0))</f>
        <v>0</v>
      </c>
      <c r="E40" s="51">
        <v>21.0</v>
      </c>
      <c r="F40" s="51">
        <v>12.0</v>
      </c>
      <c r="G40" s="50"/>
      <c r="H40" s="51" t="s">
        <v>233</v>
      </c>
      <c r="I40" s="50" t="str">
        <f>M32</f>
        <v>#17, PAUMANN / ANGERER</v>
      </c>
      <c r="J40" s="53"/>
      <c r="K40" s="53"/>
      <c r="L40" s="47" t="str">
        <f>IF(D40="","Winner #"&amp;B40,IF(D40=2,C40,C41))</f>
        <v>#2, ELSNER / PFAU</v>
      </c>
      <c r="M40" s="47" t="str">
        <f>IF(D40="","Loser #"&amp;B40,IF(D40&lt;2,C40,C41))</f>
        <v>#8, PANY / PALENCZAT</v>
      </c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</row>
    <row r="41">
      <c r="B41" s="97"/>
      <c r="C41" s="47" t="str">
        <f>L32</f>
        <v>#2, ELSNER / PFAU</v>
      </c>
      <c r="D41" s="50">
        <f>IF(ISBLANK(E40),"",IF(E40&lt;E41,1,0) + IF(F40&lt;F41,1,0) + IF(G40&lt;G41,1,0))</f>
        <v>2</v>
      </c>
      <c r="E41" s="51">
        <v>23.0</v>
      </c>
      <c r="F41" s="51">
        <v>15.0</v>
      </c>
      <c r="G41" s="50"/>
      <c r="H41" s="50"/>
      <c r="I41" s="50"/>
      <c r="J41" s="53"/>
      <c r="K41" s="53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>
      <c r="A42" s="95" t="s">
        <v>290</v>
      </c>
      <c r="B42" s="96">
        <v>49.0</v>
      </c>
      <c r="C42" s="47" t="str">
        <f>L34</f>
        <v>#1, BAUER / HASELSTEINER</v>
      </c>
      <c r="D42" s="50">
        <f>IF(ISBLANK(E42),"",IF(E42&gt;E43,1,0) + IF(F42&gt;F43,1,0) + IF(G42&gt;G43,1,0))</f>
        <v>0</v>
      </c>
      <c r="E42" s="51">
        <v>13.0</v>
      </c>
      <c r="F42" s="51">
        <v>13.0</v>
      </c>
      <c r="G42" s="50"/>
      <c r="H42" s="51" t="s">
        <v>230</v>
      </c>
      <c r="I42" s="50" t="str">
        <f>M34</f>
        <v>#15, MATĚJKOVÁ / SANCHEZ</v>
      </c>
      <c r="J42" s="53"/>
      <c r="K42" s="53"/>
      <c r="L42" s="47" t="str">
        <f>IF(D42="","Winner #"&amp;B42,IF(D42=2,C42,C43))</f>
        <v>#3, HOFSTETTER / SHKARUPA</v>
      </c>
      <c r="M42" s="47" t="str">
        <f>IF(D42="","Loser #"&amp;B42,IF(D42&lt;2,C42,C43))</f>
        <v>#1, BAUER / HASELSTEINER</v>
      </c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>
      <c r="B43" s="97"/>
      <c r="C43" s="47" t="str">
        <f>L36</f>
        <v>#3, HOFSTETTER / SHKARUPA</v>
      </c>
      <c r="D43" s="50">
        <f>IF(ISBLANK(E42),"",IF(E42&lt;E43,1,0) + IF(F42&lt;F43,1,0) + IF(G42&lt;G43,1,0))</f>
        <v>2</v>
      </c>
      <c r="E43" s="51">
        <v>15.0</v>
      </c>
      <c r="F43" s="51">
        <v>15.0</v>
      </c>
      <c r="G43" s="50"/>
      <c r="H43" s="50"/>
      <c r="I43" s="50"/>
      <c r="J43" s="53"/>
      <c r="K43" s="53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>
      <c r="B44" s="96">
        <v>50.0</v>
      </c>
      <c r="C44" s="47" t="str">
        <f>L38</f>
        <v>#4, KREMSER / MASCHERBAUER</v>
      </c>
      <c r="D44" s="50">
        <f>IF(ISBLANK(E44),"",IF(E44&gt;E45,1,0) + IF(F44&gt;F45,1,0) + IF(G44&gt;G45,1,0))</f>
        <v>2</v>
      </c>
      <c r="E44" s="51">
        <v>15.0</v>
      </c>
      <c r="F44" s="51">
        <v>16.0</v>
      </c>
      <c r="G44" s="51"/>
      <c r="H44" s="51" t="s">
        <v>231</v>
      </c>
      <c r="I44" s="50" t="str">
        <f>M38</f>
        <v>#6, SCHLAX / WAGNER</v>
      </c>
      <c r="J44" s="53"/>
      <c r="K44" s="53"/>
      <c r="L44" s="47" t="str">
        <f>IF(D44="","Winner #"&amp;B44,IF(D44=2,C44,C45))</f>
        <v>#4, KREMSER / MASCHERBAUER</v>
      </c>
      <c r="M44" s="47" t="str">
        <f>IF(D44="","Loser #"&amp;B44,IF(D44&lt;2,C44,C45))</f>
        <v>#2, ELSNER / PFAU</v>
      </c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>
      <c r="B45" s="97"/>
      <c r="C45" s="47" t="str">
        <f>L40</f>
        <v>#2, ELSNER / PFAU</v>
      </c>
      <c r="D45" s="50">
        <f>IF(ISBLANK(E44),"",IF(E44&lt;E45,1,0) + IF(F44&lt;F45,1,0) + IF(G44&lt;G45,1,0))</f>
        <v>0</v>
      </c>
      <c r="E45" s="51">
        <v>13.0</v>
      </c>
      <c r="F45" s="51">
        <v>14.0</v>
      </c>
      <c r="G45" s="51"/>
      <c r="H45" s="50"/>
      <c r="I45" s="50"/>
      <c r="J45" s="53"/>
      <c r="K45" s="53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>
      <c r="A46" s="95" t="s">
        <v>291</v>
      </c>
      <c r="B46" s="96">
        <v>51.0</v>
      </c>
      <c r="C46" s="47" t="str">
        <f>M42</f>
        <v>#1, BAUER / HASELSTEINER</v>
      </c>
      <c r="D46" s="50">
        <f>IF(ISBLANK(E46),"",IF(E46&gt;E47,1,0) + IF(F46&gt;F47,1,0) + IF(G46&gt;G47,1,0))</f>
        <v>2</v>
      </c>
      <c r="E46" s="51">
        <v>15.0</v>
      </c>
      <c r="F46" s="51">
        <v>15.0</v>
      </c>
      <c r="G46" s="50"/>
      <c r="H46" s="51" t="s">
        <v>230</v>
      </c>
      <c r="I46" s="50"/>
      <c r="J46" s="53"/>
      <c r="K46" s="53"/>
      <c r="L46" s="47" t="str">
        <f>IF(D46="","Winner #"&amp;B46,IF(D46=2,C46,C47))</f>
        <v>#1, BAUER / HASELSTEINER</v>
      </c>
      <c r="M46" s="47" t="str">
        <f>IF(D46="","Loser #"&amp;B46,IF(D46&lt;2,C46,C47))</f>
        <v>#2, ELSNER / PFAU</v>
      </c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>
      <c r="B47" s="97"/>
      <c r="C47" s="47" t="str">
        <f>M44</f>
        <v>#2, ELSNER / PFAU</v>
      </c>
      <c r="D47" s="50">
        <f>IF(ISBLANK(E46),"",IF(E46&lt;E47,1,0) + IF(F46&lt;F47,1,0) + IF(G46&lt;G47,1,0))</f>
        <v>0</v>
      </c>
      <c r="E47" s="51">
        <v>9.0</v>
      </c>
      <c r="F47" s="51">
        <v>10.0</v>
      </c>
      <c r="G47" s="50"/>
      <c r="H47" s="50"/>
      <c r="I47" s="50"/>
      <c r="J47" s="53"/>
      <c r="K47" s="53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>
      <c r="A48" s="95" t="s">
        <v>292</v>
      </c>
      <c r="B48" s="96">
        <v>52.0</v>
      </c>
      <c r="C48" s="47" t="str">
        <f>L42</f>
        <v>#3, HOFSTETTER / SHKARUPA</v>
      </c>
      <c r="D48" s="50">
        <f>IF(ISBLANK(E48),"",IF(E48&gt;E49,1,0) + IF(F48&gt;F49,1,0) + IF(G48&gt;G49,1,0))</f>
        <v>2</v>
      </c>
      <c r="E48" s="51">
        <v>10.0</v>
      </c>
      <c r="F48" s="51">
        <v>15.0</v>
      </c>
      <c r="G48" s="51">
        <v>15.0</v>
      </c>
      <c r="H48" s="51" t="s">
        <v>231</v>
      </c>
      <c r="I48" s="50"/>
      <c r="J48" s="53"/>
      <c r="K48" s="53"/>
      <c r="L48" s="47" t="str">
        <f>IF(D48="","Winner #"&amp;B48,IF(D48=2,C48,C49))</f>
        <v>#3, HOFSTETTER / SHKARUPA</v>
      </c>
      <c r="M48" s="47" t="str">
        <f>IF(D48="","Loser #"&amp;B48,IF(D48&lt;2,C48,C49))</f>
        <v>#4, KREMSER / MASCHERBAUER</v>
      </c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>
      <c r="B49" s="48"/>
      <c r="C49" s="47" t="str">
        <f>L44</f>
        <v>#4, KREMSER / MASCHERBAUER</v>
      </c>
      <c r="D49" s="50">
        <f>IF(ISBLANK(E48),"",IF(E48&lt;E49,1,0) + IF(F48&lt;F49,1,0) + IF(G48&lt;G49,1,0))</f>
        <v>1</v>
      </c>
      <c r="E49" s="51">
        <v>15.0</v>
      </c>
      <c r="F49" s="51">
        <v>13.0</v>
      </c>
      <c r="G49" s="51">
        <v>6.0</v>
      </c>
      <c r="H49" s="50"/>
      <c r="I49" s="50"/>
      <c r="J49" s="53"/>
      <c r="K49" s="53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</row>
    <row r="60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</row>
    <row r="11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</row>
    <row r="11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</row>
    <row r="113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</row>
    <row r="114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  <row r="11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</row>
    <row r="116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</row>
    <row r="1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</row>
    <row r="126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</row>
    <row r="127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</row>
    <row r="128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</row>
    <row r="129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</row>
    <row r="130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</row>
    <row r="13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</row>
    <row r="13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</row>
    <row r="134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</row>
    <row r="13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</row>
    <row r="136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</row>
    <row r="137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</row>
    <row r="138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</row>
    <row r="140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</row>
    <row r="14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</row>
    <row r="14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</row>
    <row r="144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</row>
    <row r="14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</row>
    <row r="146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  <row r="19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</row>
    <row r="193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</row>
    <row r="194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</row>
    <row r="19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</row>
    <row r="200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</row>
    <row r="202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</row>
    <row r="203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</row>
    <row r="204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</row>
    <row r="20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</row>
    <row r="208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</row>
    <row r="209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</row>
    <row r="210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</row>
    <row r="21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</row>
    <row r="212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</row>
    <row r="213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</row>
    <row r="214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</row>
    <row r="21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</row>
    <row r="216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</row>
    <row r="217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</row>
    <row r="218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</row>
    <row r="219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</row>
    <row r="220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</row>
    <row r="22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</row>
    <row r="22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</row>
    <row r="223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</row>
    <row r="224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</row>
    <row r="2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</row>
    <row r="226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</row>
    <row r="227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</row>
    <row r="228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</row>
    <row r="229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</row>
    <row r="230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</row>
    <row r="23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</row>
    <row r="23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</row>
    <row r="233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</row>
    <row r="234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</row>
    <row r="23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</row>
    <row r="236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</row>
    <row r="237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</row>
    <row r="238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</row>
    <row r="239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</row>
    <row r="240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</row>
    <row r="24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</row>
    <row r="24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</row>
    <row r="243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</row>
    <row r="244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</row>
    <row r="24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</row>
    <row r="246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</row>
    <row r="247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</row>
    <row r="248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</row>
    <row r="249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</row>
    <row r="250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</row>
    <row r="25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</row>
    <row r="25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</row>
    <row r="253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</row>
    <row r="254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</row>
    <row r="25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</row>
    <row r="256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</row>
    <row r="257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</row>
    <row r="258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</row>
    <row r="259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</row>
    <row r="260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</row>
    <row r="26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</row>
    <row r="26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</row>
    <row r="263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</row>
    <row r="264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</row>
    <row r="26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</row>
    <row r="266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</row>
    <row r="267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</row>
    <row r="268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</row>
    <row r="269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</row>
    <row r="270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</row>
    <row r="27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</row>
    <row r="27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</row>
    <row r="273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</row>
    <row r="274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</row>
    <row r="27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</row>
    <row r="276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</row>
    <row r="277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</row>
    <row r="278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</row>
    <row r="279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</row>
    <row r="280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</row>
    <row r="28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</row>
    <row r="28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</row>
    <row r="283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</row>
    <row r="284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</row>
    <row r="28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</row>
    <row r="286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</row>
    <row r="287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</row>
    <row r="288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</row>
    <row r="289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</row>
    <row r="290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</row>
    <row r="29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</row>
    <row r="29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</row>
    <row r="293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</row>
    <row r="294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</row>
    <row r="29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</row>
    <row r="296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</row>
    <row r="297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</row>
    <row r="298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</row>
    <row r="299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</row>
    <row r="300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</row>
    <row r="30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</row>
    <row r="30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</row>
    <row r="303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</row>
    <row r="304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</row>
    <row r="30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</row>
    <row r="306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</row>
    <row r="307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</row>
    <row r="308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</row>
    <row r="309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</row>
    <row r="310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</row>
    <row r="31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</row>
    <row r="31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</row>
    <row r="313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</row>
    <row r="314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</row>
    <row r="31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</row>
    <row r="316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</row>
    <row r="317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</row>
    <row r="318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</row>
    <row r="319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</row>
    <row r="320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</row>
    <row r="32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</row>
    <row r="32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</row>
    <row r="323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</row>
    <row r="324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</row>
    <row r="32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</row>
    <row r="326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</row>
    <row r="327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</row>
    <row r="328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</row>
    <row r="329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</row>
    <row r="330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</row>
    <row r="33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</row>
    <row r="33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</row>
    <row r="333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</row>
    <row r="334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</row>
    <row r="33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</row>
    <row r="336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</row>
    <row r="337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</row>
    <row r="338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</row>
    <row r="339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</row>
    <row r="340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</row>
    <row r="34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</row>
    <row r="34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</row>
    <row r="343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</row>
    <row r="344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</row>
    <row r="34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</row>
    <row r="346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</row>
    <row r="347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</row>
    <row r="348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</row>
    <row r="349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</row>
    <row r="350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</row>
    <row r="35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</row>
    <row r="35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</row>
    <row r="353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</row>
    <row r="354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</row>
    <row r="35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</row>
    <row r="356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</row>
    <row r="357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</row>
    <row r="358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</row>
    <row r="359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</row>
    <row r="360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</row>
    <row r="36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</row>
    <row r="36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</row>
    <row r="363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</row>
    <row r="364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</row>
    <row r="36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</row>
    <row r="366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</row>
    <row r="367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</row>
    <row r="368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</row>
    <row r="369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</row>
    <row r="370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</row>
    <row r="37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</row>
    <row r="37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</row>
    <row r="373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</row>
    <row r="374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</row>
    <row r="37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</row>
    <row r="376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</row>
    <row r="377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</row>
    <row r="378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</row>
    <row r="379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</row>
    <row r="380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</row>
    <row r="38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</row>
    <row r="38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</row>
    <row r="383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</row>
    <row r="384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</row>
    <row r="38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</row>
    <row r="386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</row>
    <row r="387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</row>
    <row r="388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</row>
    <row r="389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</row>
    <row r="390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</row>
    <row r="39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</row>
    <row r="39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</row>
    <row r="393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</row>
    <row r="394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</row>
    <row r="39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</row>
    <row r="396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</row>
    <row r="397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</row>
    <row r="398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</row>
    <row r="399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</row>
    <row r="400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</row>
    <row r="40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</row>
    <row r="40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</row>
    <row r="403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</row>
    <row r="404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</row>
    <row r="40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</row>
    <row r="406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</row>
    <row r="407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</row>
    <row r="408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</row>
    <row r="409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</row>
    <row r="410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</row>
    <row r="41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</row>
    <row r="41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</row>
    <row r="413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</row>
    <row r="414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</row>
    <row r="41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</row>
    <row r="416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</row>
    <row r="417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</row>
    <row r="418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</row>
    <row r="419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</row>
    <row r="420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</row>
    <row r="42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</row>
    <row r="42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</row>
    <row r="423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</row>
    <row r="424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</row>
    <row r="42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</row>
    <row r="426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</row>
    <row r="427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</row>
    <row r="428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</row>
    <row r="429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</row>
    <row r="430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</row>
    <row r="43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</row>
    <row r="43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</row>
    <row r="433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</row>
    <row r="434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</row>
    <row r="43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</row>
    <row r="436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</row>
    <row r="437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</row>
    <row r="438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</row>
    <row r="439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</row>
    <row r="440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</row>
    <row r="44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</row>
    <row r="44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</row>
    <row r="443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</row>
    <row r="444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</row>
    <row r="44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</row>
    <row r="446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</row>
    <row r="447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</row>
    <row r="448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</row>
    <row r="449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</row>
    <row r="450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</row>
    <row r="45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</row>
    <row r="45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</row>
    <row r="453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</row>
    <row r="454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</row>
    <row r="45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</row>
    <row r="456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</row>
    <row r="457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</row>
    <row r="458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</row>
    <row r="459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</row>
    <row r="460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</row>
    <row r="46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</row>
    <row r="46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</row>
    <row r="463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</row>
    <row r="464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</row>
    <row r="46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</row>
    <row r="466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</row>
    <row r="467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</row>
    <row r="468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</row>
    <row r="469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</row>
    <row r="470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</row>
    <row r="47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</row>
    <row r="47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</row>
    <row r="473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</row>
    <row r="474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</row>
    <row r="47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</row>
    <row r="476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</row>
    <row r="477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</row>
    <row r="478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</row>
    <row r="479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</row>
    <row r="480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</row>
    <row r="48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</row>
    <row r="48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</row>
    <row r="483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</row>
    <row r="484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</row>
    <row r="48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</row>
    <row r="486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</row>
    <row r="487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</row>
    <row r="488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</row>
    <row r="489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</row>
    <row r="490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</row>
    <row r="49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</row>
    <row r="49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</row>
    <row r="493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</row>
    <row r="494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</row>
    <row r="49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</row>
    <row r="496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</row>
    <row r="497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</row>
    <row r="498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</row>
    <row r="499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</row>
    <row r="500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</row>
    <row r="50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</row>
    <row r="50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</row>
    <row r="503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</row>
    <row r="504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</row>
    <row r="50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</row>
    <row r="506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</row>
    <row r="507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</row>
    <row r="508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</row>
    <row r="509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</row>
    <row r="510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</row>
    <row r="51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</row>
    <row r="51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</row>
    <row r="513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</row>
    <row r="514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</row>
    <row r="51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</row>
    <row r="516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</row>
    <row r="517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</row>
    <row r="518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</row>
    <row r="519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</row>
    <row r="520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</row>
    <row r="52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</row>
    <row r="52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</row>
    <row r="523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</row>
    <row r="524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</row>
    <row r="52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</row>
    <row r="526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</row>
    <row r="527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</row>
    <row r="528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</row>
    <row r="529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</row>
    <row r="530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</row>
    <row r="53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</row>
    <row r="53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</row>
    <row r="533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</row>
    <row r="534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</row>
    <row r="53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</row>
    <row r="536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</row>
    <row r="537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</row>
    <row r="538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</row>
    <row r="539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</row>
    <row r="540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</row>
    <row r="54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</row>
    <row r="54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</row>
    <row r="543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</row>
    <row r="544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</row>
    <row r="54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</row>
    <row r="546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</row>
    <row r="547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</row>
    <row r="548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</row>
    <row r="549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</row>
    <row r="550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</row>
    <row r="55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</row>
    <row r="55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</row>
    <row r="553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</row>
    <row r="554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</row>
    <row r="55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</row>
    <row r="556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</row>
    <row r="557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</row>
    <row r="558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</row>
    <row r="559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</row>
    <row r="560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</row>
    <row r="56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</row>
    <row r="56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</row>
    <row r="563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</row>
    <row r="564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</row>
    <row r="56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</row>
    <row r="566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</row>
    <row r="567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</row>
    <row r="568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</row>
    <row r="569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</row>
    <row r="570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</row>
    <row r="57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</row>
    <row r="57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</row>
    <row r="573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</row>
    <row r="574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</row>
    <row r="57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</row>
    <row r="576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</row>
    <row r="577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</row>
    <row r="578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</row>
    <row r="579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</row>
    <row r="580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</row>
    <row r="58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</row>
    <row r="58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</row>
    <row r="583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</row>
    <row r="584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</row>
    <row r="58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</row>
    <row r="586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</row>
    <row r="587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</row>
    <row r="588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</row>
    <row r="589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</row>
    <row r="590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</row>
    <row r="59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</row>
    <row r="59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</row>
    <row r="593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</row>
    <row r="594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</row>
    <row r="59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</row>
    <row r="596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</row>
    <row r="597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</row>
    <row r="598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</row>
    <row r="599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</row>
    <row r="600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</row>
    <row r="60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</row>
    <row r="60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</row>
    <row r="603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</row>
    <row r="604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</row>
    <row r="60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</row>
    <row r="606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</row>
    <row r="607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</row>
    <row r="608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</row>
    <row r="609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</row>
    <row r="610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</row>
    <row r="61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</row>
    <row r="61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</row>
    <row r="613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</row>
    <row r="614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</row>
    <row r="61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</row>
    <row r="616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</row>
    <row r="617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</row>
    <row r="618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</row>
    <row r="619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</row>
    <row r="620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</row>
    <row r="62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</row>
    <row r="62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</row>
    <row r="623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</row>
    <row r="624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</row>
    <row r="62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</row>
    <row r="626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</row>
    <row r="627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</row>
    <row r="628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</row>
    <row r="629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</row>
    <row r="630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</row>
    <row r="63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</row>
    <row r="63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</row>
    <row r="633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</row>
    <row r="634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</row>
    <row r="63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</row>
    <row r="636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</row>
    <row r="637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</row>
    <row r="638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</row>
    <row r="639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</row>
    <row r="640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</row>
    <row r="64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</row>
    <row r="64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</row>
    <row r="643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</row>
    <row r="644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</row>
    <row r="64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</row>
    <row r="646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</row>
    <row r="647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</row>
    <row r="648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</row>
    <row r="649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</row>
    <row r="650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</row>
    <row r="65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</row>
    <row r="65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</row>
    <row r="653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</row>
    <row r="654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</row>
    <row r="65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</row>
    <row r="656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</row>
    <row r="657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</row>
    <row r="658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</row>
    <row r="659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</row>
    <row r="660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</row>
    <row r="66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</row>
    <row r="66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</row>
    <row r="663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</row>
    <row r="664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</row>
    <row r="66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</row>
    <row r="666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</row>
    <row r="667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</row>
    <row r="668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</row>
    <row r="669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</row>
    <row r="670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</row>
    <row r="67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</row>
    <row r="67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</row>
    <row r="673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</row>
    <row r="674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</row>
    <row r="67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</row>
    <row r="676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</row>
    <row r="677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</row>
    <row r="678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</row>
    <row r="679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</row>
    <row r="680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</row>
    <row r="68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</row>
    <row r="68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</row>
    <row r="683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</row>
    <row r="684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</row>
    <row r="68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</row>
    <row r="686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</row>
    <row r="687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</row>
    <row r="688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</row>
    <row r="689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</row>
    <row r="690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</row>
    <row r="69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</row>
    <row r="69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</row>
    <row r="693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</row>
    <row r="694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</row>
    <row r="69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</row>
    <row r="696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</row>
    <row r="697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</row>
    <row r="698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</row>
    <row r="699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</row>
    <row r="700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</row>
    <row r="70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</row>
    <row r="70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</row>
    <row r="703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</row>
    <row r="704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</row>
    <row r="70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</row>
    <row r="706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</row>
    <row r="707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</row>
    <row r="708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</row>
    <row r="709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</row>
    <row r="710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</row>
    <row r="71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</row>
    <row r="71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</row>
    <row r="713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</row>
    <row r="714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</row>
    <row r="71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</row>
    <row r="716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</row>
    <row r="717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</row>
    <row r="718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</row>
    <row r="719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</row>
    <row r="720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</row>
    <row r="72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</row>
    <row r="72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</row>
    <row r="723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</row>
    <row r="724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</row>
    <row r="72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</row>
    <row r="726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</row>
    <row r="727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</row>
    <row r="728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</row>
    <row r="729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</row>
    <row r="730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</row>
    <row r="73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</row>
    <row r="73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</row>
    <row r="733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</row>
    <row r="734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</row>
    <row r="73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</row>
    <row r="736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</row>
    <row r="737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</row>
    <row r="738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</row>
    <row r="739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</row>
    <row r="740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</row>
    <row r="74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</row>
    <row r="74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</row>
    <row r="743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</row>
    <row r="744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</row>
    <row r="74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</row>
    <row r="746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</row>
    <row r="747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</row>
    <row r="748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</row>
    <row r="749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</row>
    <row r="750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</row>
    <row r="75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</row>
    <row r="75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</row>
    <row r="753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</row>
    <row r="754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</row>
    <row r="755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</row>
    <row r="756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</row>
    <row r="757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</row>
    <row r="758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</row>
    <row r="759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</row>
    <row r="760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</row>
    <row r="76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</row>
    <row r="76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</row>
    <row r="763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</row>
    <row r="764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</row>
    <row r="765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</row>
    <row r="766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</row>
    <row r="767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</row>
    <row r="768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</row>
    <row r="769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</row>
    <row r="770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</row>
    <row r="77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</row>
    <row r="77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</row>
    <row r="773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</row>
    <row r="774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</row>
    <row r="775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</row>
    <row r="776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</row>
    <row r="777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</row>
    <row r="778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</row>
    <row r="779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</row>
    <row r="780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</row>
    <row r="78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</row>
    <row r="78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</row>
    <row r="783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</row>
    <row r="784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</row>
    <row r="785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</row>
    <row r="786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</row>
    <row r="787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</row>
    <row r="788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</row>
    <row r="789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</row>
    <row r="790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</row>
    <row r="79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</row>
    <row r="79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</row>
    <row r="793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</row>
    <row r="794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</row>
    <row r="795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</row>
    <row r="796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</row>
    <row r="797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</row>
    <row r="798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</row>
    <row r="799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</row>
    <row r="800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</row>
    <row r="80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</row>
    <row r="80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</row>
    <row r="803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</row>
    <row r="804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</row>
    <row r="805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</row>
    <row r="806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</row>
    <row r="807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</row>
    <row r="808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</row>
    <row r="809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</row>
    <row r="810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</row>
    <row r="81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</row>
    <row r="81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</row>
    <row r="813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</row>
    <row r="814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</row>
    <row r="815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</row>
    <row r="816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</row>
    <row r="817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</row>
    <row r="818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</row>
    <row r="819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</row>
    <row r="820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</row>
    <row r="82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</row>
    <row r="82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</row>
    <row r="823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</row>
    <row r="824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</row>
    <row r="825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</row>
    <row r="826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</row>
    <row r="827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</row>
    <row r="828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</row>
    <row r="829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</row>
    <row r="830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</row>
    <row r="83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</row>
    <row r="83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</row>
    <row r="833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</row>
    <row r="834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</row>
    <row r="835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</row>
    <row r="836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</row>
    <row r="837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</row>
    <row r="838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</row>
    <row r="839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</row>
    <row r="840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</row>
    <row r="84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</row>
    <row r="84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</row>
    <row r="843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</row>
    <row r="844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</row>
    <row r="845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</row>
    <row r="846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</row>
    <row r="847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</row>
    <row r="848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</row>
    <row r="849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</row>
    <row r="850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</row>
    <row r="85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</row>
    <row r="85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</row>
    <row r="853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</row>
    <row r="854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</row>
    <row r="855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</row>
    <row r="856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</row>
    <row r="857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</row>
    <row r="858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</row>
    <row r="859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</row>
    <row r="860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</row>
    <row r="86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</row>
    <row r="86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</row>
    <row r="863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</row>
    <row r="864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</row>
    <row r="865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</row>
    <row r="866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</row>
    <row r="867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</row>
    <row r="868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</row>
    <row r="869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</row>
    <row r="870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</row>
    <row r="87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</row>
    <row r="87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</row>
    <row r="873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</row>
    <row r="874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</row>
    <row r="875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</row>
    <row r="876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</row>
    <row r="877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</row>
    <row r="878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</row>
    <row r="879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</row>
    <row r="880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</row>
    <row r="88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</row>
    <row r="88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</row>
    <row r="883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</row>
    <row r="884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</row>
    <row r="885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</row>
    <row r="886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</row>
    <row r="887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</row>
    <row r="888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</row>
    <row r="889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</row>
    <row r="890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</row>
    <row r="89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</row>
    <row r="89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</row>
    <row r="893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</row>
    <row r="894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</row>
    <row r="89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</row>
    <row r="896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</row>
    <row r="897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</row>
    <row r="898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</row>
    <row r="899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</row>
    <row r="900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</row>
    <row r="90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</row>
    <row r="90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</row>
    <row r="903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</row>
    <row r="904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</row>
    <row r="905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</row>
    <row r="906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</row>
    <row r="907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</row>
    <row r="908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</row>
    <row r="909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</row>
    <row r="910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</row>
    <row r="91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</row>
    <row r="91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</row>
    <row r="913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</row>
    <row r="914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</row>
    <row r="915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</row>
    <row r="916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</row>
    <row r="917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</row>
    <row r="918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</row>
    <row r="919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</row>
    <row r="920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</row>
    <row r="92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</row>
    <row r="922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</row>
    <row r="923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</row>
    <row r="924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</row>
    <row r="925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</row>
    <row r="926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</row>
    <row r="927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</row>
    <row r="928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</row>
    <row r="929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</row>
    <row r="930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</row>
    <row r="93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</row>
    <row r="932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</row>
    <row r="933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</row>
    <row r="934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</row>
    <row r="935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</row>
    <row r="936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</row>
    <row r="937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</row>
    <row r="938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</row>
    <row r="939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</row>
    <row r="940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</row>
    <row r="94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</row>
    <row r="942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</row>
    <row r="943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</row>
    <row r="944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</row>
    <row r="945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</row>
    <row r="946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</row>
    <row r="947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</row>
    <row r="948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</row>
    <row r="949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</row>
    <row r="950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</row>
    <row r="95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</row>
    <row r="952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</row>
    <row r="953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</row>
    <row r="954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</row>
    <row r="955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</row>
    <row r="956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</row>
    <row r="957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</row>
    <row r="958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</row>
    <row r="959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</row>
    <row r="960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</row>
    <row r="96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</row>
    <row r="962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</row>
    <row r="963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</row>
    <row r="964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</row>
    <row r="965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</row>
    <row r="966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</row>
    <row r="967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</row>
    <row r="968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</row>
    <row r="969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</row>
    <row r="970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</row>
    <row r="97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</row>
    <row r="972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</row>
    <row r="973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</row>
    <row r="974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</row>
    <row r="975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</row>
    <row r="976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</row>
    <row r="977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</row>
    <row r="978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</row>
    <row r="979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</row>
    <row r="980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</row>
    <row r="98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</row>
    <row r="982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</row>
    <row r="983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</row>
    <row r="984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</row>
    <row r="985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</row>
    <row r="986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</row>
    <row r="987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</row>
    <row r="988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</row>
    <row r="989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</row>
    <row r="990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</row>
    <row r="99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</row>
    <row r="992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</row>
    <row r="993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</row>
    <row r="994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</row>
    <row r="995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</row>
    <row r="996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</row>
    <row r="997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</row>
    <row r="998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</row>
    <row r="999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</row>
    <row r="1000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</row>
  </sheetData>
  <mergeCells count="6">
    <mergeCell ref="A2:A17"/>
    <mergeCell ref="A18:A33"/>
    <mergeCell ref="A34:A41"/>
    <mergeCell ref="A42:A45"/>
    <mergeCell ref="A46:A47"/>
    <mergeCell ref="A48:A49"/>
  </mergeCells>
  <printOptions/>
  <pageMargins bottom="0.787401575" footer="0.0" header="0.0" left="0.7" right="0.7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71"/>
    <col customWidth="1" min="2" max="2" width="29.86"/>
    <col customWidth="1" min="3" max="3" width="25.43"/>
    <col customWidth="1" min="4" max="4" width="26.0"/>
    <col customWidth="1" min="5" max="5" width="27.57"/>
    <col customWidth="1" min="6" max="6" width="25.29"/>
    <col customWidth="1" min="7" max="26" width="16.57"/>
  </cols>
  <sheetData>
    <row r="1" ht="10.5" customHeight="1">
      <c r="A1" s="98" t="s">
        <v>293</v>
      </c>
      <c r="B1" s="98" t="s">
        <v>294</v>
      </c>
      <c r="C1" s="99" t="s">
        <v>295</v>
      </c>
      <c r="D1" s="99" t="s">
        <v>290</v>
      </c>
      <c r="E1" s="100"/>
      <c r="F1" s="101" t="s">
        <v>209</v>
      </c>
    </row>
    <row r="2" ht="10.5" hidden="1" customHeight="1">
      <c r="A2" s="98"/>
      <c r="B2" s="98"/>
      <c r="C2" s="99"/>
      <c r="D2" s="99"/>
      <c r="E2" s="100"/>
      <c r="F2" s="102"/>
    </row>
    <row r="3" ht="10.5" hidden="1" customHeight="1">
      <c r="B3" s="98"/>
      <c r="C3" s="99"/>
      <c r="D3" s="99"/>
      <c r="E3" s="100"/>
      <c r="F3" s="102"/>
    </row>
    <row r="4" ht="10.5" hidden="1" customHeight="1">
      <c r="B4" s="103"/>
      <c r="C4" s="104"/>
      <c r="D4" s="104"/>
      <c r="E4" s="100"/>
      <c r="F4" s="102"/>
    </row>
    <row r="5" ht="10.5" customHeight="1">
      <c r="B5" s="105" t="str">
        <f>ElimMatches!C18</f>
        <v>#1, BAUER / HASELSTEINER</v>
      </c>
      <c r="C5" s="104"/>
      <c r="D5" s="104"/>
      <c r="E5" s="100"/>
      <c r="F5" s="102"/>
    </row>
    <row r="6" ht="10.5" customHeight="1">
      <c r="B6" s="106"/>
      <c r="C6" s="100"/>
      <c r="D6" s="100"/>
      <c r="E6" s="100"/>
      <c r="F6" s="102"/>
    </row>
    <row r="7" ht="10.5" customHeight="1">
      <c r="A7" s="105" t="str">
        <f>ElimMatches!C2</f>
        <v>#10, BOYD / STEGMÜLLER</v>
      </c>
      <c r="B7" s="107">
        <v>41.0</v>
      </c>
      <c r="C7" s="108" t="str">
        <f>ElimMatches!C34</f>
        <v>#1, BAUER / HASELSTEINER</v>
      </c>
      <c r="D7" s="100"/>
      <c r="E7" s="100"/>
      <c r="F7" s="102"/>
    </row>
    <row r="8" ht="10.5" customHeight="1">
      <c r="A8" s="106"/>
      <c r="B8" s="109" t="str">
        <f>"("&amp;ElimMatches!D18&amp;" : "&amp;ElimMatches!D19&amp;")"</f>
        <v>(2 : 0)</v>
      </c>
      <c r="C8" s="106"/>
      <c r="D8" s="100"/>
      <c r="E8" s="100"/>
      <c r="F8" s="102"/>
    </row>
    <row r="9" ht="10.5" customHeight="1">
      <c r="A9" s="107">
        <v>33.0</v>
      </c>
      <c r="B9" s="110"/>
      <c r="C9" s="111"/>
      <c r="D9" s="100"/>
      <c r="E9" s="100"/>
      <c r="F9" s="102"/>
    </row>
    <row r="10" ht="10.5" customHeight="1">
      <c r="A10" s="112" t="str">
        <f>"("&amp;ElimMatches!D2&amp;" : "&amp;ElimMatches!D3&amp;")"</f>
        <v>(1 : 2)</v>
      </c>
      <c r="B10" s="104" t="str">
        <f>ElimMatches!C19</f>
        <v>#16, YESSIMOVA / GLANNINGER</v>
      </c>
      <c r="C10" s="111"/>
      <c r="D10" s="100"/>
      <c r="E10" s="100"/>
      <c r="F10" s="102"/>
      <c r="I10" s="113"/>
    </row>
    <row r="11" ht="10.5" customHeight="1">
      <c r="A11" s="105" t="str">
        <f>ElimMatches!C3</f>
        <v>#16, YESSIMOVA / GLANNINGER</v>
      </c>
      <c r="B11" s="114"/>
      <c r="C11" s="107">
        <v>49.0</v>
      </c>
      <c r="D11" s="108" t="str">
        <f>ElimMatches!C42</f>
        <v>#1, BAUER / HASELSTEINER</v>
      </c>
      <c r="E11" s="100"/>
      <c r="F11" s="102"/>
      <c r="I11" s="113"/>
    </row>
    <row r="12" ht="10.5" customHeight="1">
      <c r="B12" s="114"/>
      <c r="C12" s="111" t="str">
        <f>"("&amp;ElimMatches!D34&amp;" : "&amp;ElimMatches!D35&amp;")"</f>
        <v>(2 : 0)</v>
      </c>
      <c r="D12" s="106"/>
      <c r="E12" s="100"/>
      <c r="F12" s="102"/>
      <c r="I12" s="113"/>
    </row>
    <row r="13" ht="10.5" customHeight="1">
      <c r="B13" s="105" t="str">
        <f>ElimMatches!C20</f>
        <v>#13, SZUDA / STÜRZ</v>
      </c>
      <c r="C13" s="109"/>
      <c r="D13" s="111"/>
      <c r="E13" s="100"/>
      <c r="F13" s="102"/>
      <c r="I13" s="113"/>
    </row>
    <row r="14" ht="10.5" customHeight="1">
      <c r="B14" s="106"/>
      <c r="C14" s="111"/>
      <c r="D14" s="111"/>
      <c r="E14" s="100"/>
      <c r="F14" s="102"/>
      <c r="I14" s="113"/>
    </row>
    <row r="15" ht="10.5" customHeight="1">
      <c r="A15" s="105" t="str">
        <f>ElimMatches!C4</f>
        <v>#15, MATĚJKOVÁ / SANCHEZ</v>
      </c>
      <c r="B15" s="107">
        <v>42.0</v>
      </c>
      <c r="C15" s="115"/>
      <c r="D15" s="111"/>
      <c r="E15" s="100"/>
      <c r="F15" s="102"/>
      <c r="I15" s="113"/>
    </row>
    <row r="16" ht="10.5" customHeight="1">
      <c r="A16" s="106"/>
      <c r="B16" s="109" t="str">
        <f>"("&amp;ElimMatches!D20&amp;" : "&amp;ElimMatches!D21&amp;")"</f>
        <v>(0 : 2)</v>
      </c>
      <c r="C16" s="116" t="str">
        <f>ElimMatches!C35</f>
        <v>#15, MATĚJKOVÁ / SANCHEZ</v>
      </c>
      <c r="D16" s="111"/>
      <c r="E16" s="100"/>
      <c r="F16" s="117"/>
      <c r="I16" s="113"/>
    </row>
    <row r="17" ht="10.5" customHeight="1">
      <c r="A17" s="107">
        <v>34.0</v>
      </c>
      <c r="B17" s="110"/>
      <c r="C17" s="100"/>
      <c r="D17" s="111"/>
      <c r="E17" s="100"/>
      <c r="F17" s="99"/>
      <c r="I17" s="113"/>
    </row>
    <row r="18" ht="10.5" customHeight="1">
      <c r="A18" s="112" t="str">
        <f>"("&amp;ElimMatches!D4&amp;" : "&amp;ElimMatches!D5&amp;")"</f>
        <v>(2 : 0)</v>
      </c>
      <c r="B18" s="116" t="str">
        <f>ElimMatches!C21</f>
        <v>#15, MATĚJKOVÁ / SANCHEZ</v>
      </c>
      <c r="C18" s="100"/>
      <c r="D18" s="82"/>
      <c r="E18" s="100"/>
      <c r="F18" s="102"/>
      <c r="I18" s="113"/>
    </row>
    <row r="19" ht="10.5" customHeight="1">
      <c r="A19" s="105" t="str">
        <f>ElimMatches!C5</f>
        <v>#18, BEYER / SCHINAGL</v>
      </c>
      <c r="B19" s="114"/>
      <c r="C19" s="100"/>
      <c r="D19" s="107">
        <v>53.0</v>
      </c>
      <c r="E19" s="118" t="str">
        <f>ElimMatches!C48</f>
        <v>#3, HOFSTETTER / SHKARUPA</v>
      </c>
      <c r="I19" s="113"/>
    </row>
    <row r="20" ht="10.5" customHeight="1">
      <c r="B20" s="114"/>
      <c r="C20" s="100"/>
      <c r="D20" s="111" t="str">
        <f>"("&amp;ElimMatches!D42&amp;" : "&amp;ElimMatches!D43&amp;")"</f>
        <v>(0 : 2)</v>
      </c>
      <c r="E20" s="106"/>
      <c r="F20" s="103"/>
      <c r="I20" s="113"/>
    </row>
    <row r="21" ht="10.5" customHeight="1">
      <c r="B21" s="105" t="str">
        <f>ElimMatches!C22</f>
        <v>#5, BISANZ / HAMMARBERG</v>
      </c>
      <c r="C21" s="100"/>
      <c r="D21" s="109"/>
      <c r="E21" s="111"/>
      <c r="I21" s="113"/>
    </row>
    <row r="22" ht="10.5" customHeight="1">
      <c r="B22" s="106"/>
      <c r="C22" s="100"/>
      <c r="D22" s="111"/>
      <c r="E22" s="111"/>
      <c r="F22" s="102"/>
      <c r="I22" s="113"/>
    </row>
    <row r="23" ht="10.5" customHeight="1">
      <c r="A23" s="105" t="str">
        <f>ElimMatches!C6</f>
        <v>#20, HAYDN / DÜRNITZHOFER</v>
      </c>
      <c r="B23" s="107">
        <v>43.0</v>
      </c>
      <c r="C23" s="108" t="str">
        <f>ElimMatches!C36</f>
        <v>#5, BISANZ / HAMMARBERG</v>
      </c>
      <c r="D23" s="111"/>
      <c r="E23" s="111"/>
      <c r="F23" s="102"/>
      <c r="I23" s="113"/>
    </row>
    <row r="24" ht="10.5" customHeight="1">
      <c r="A24" s="106"/>
      <c r="B24" s="109" t="str">
        <f>"("&amp;ElimMatches!D22&amp;" : "&amp;ElimMatches!D23&amp;")"</f>
        <v>(2 : 1)</v>
      </c>
      <c r="C24" s="106"/>
      <c r="D24" s="111"/>
      <c r="E24" s="111"/>
      <c r="F24" s="102"/>
      <c r="I24" s="113"/>
    </row>
    <row r="25" ht="10.5" customHeight="1">
      <c r="A25" s="107">
        <v>35.0</v>
      </c>
      <c r="B25" s="110"/>
      <c r="C25" s="111"/>
      <c r="D25" s="111"/>
      <c r="E25" s="111"/>
      <c r="F25" s="102"/>
      <c r="I25" s="113"/>
    </row>
    <row r="26" ht="10.5" customHeight="1">
      <c r="A26" s="112" t="str">
        <f>"("&amp;ElimMatches!D6&amp;" : "&amp;ElimMatches!D7&amp;")"</f>
        <v>(0 : 2)</v>
      </c>
      <c r="B26" s="116" t="str">
        <f>ElimMatches!C23</f>
        <v>#22, PICHLER / GRAF</v>
      </c>
      <c r="C26" s="111"/>
      <c r="D26" s="111"/>
      <c r="E26" s="111"/>
      <c r="F26" s="102"/>
      <c r="I26" s="113"/>
    </row>
    <row r="27" ht="10.5" customHeight="1">
      <c r="A27" s="105" t="str">
        <f>ElimMatches!C7</f>
        <v>#22, PICHLER / GRAF</v>
      </c>
      <c r="B27" s="114"/>
      <c r="C27" s="107">
        <v>50.0</v>
      </c>
      <c r="D27" s="115"/>
      <c r="E27" s="111"/>
      <c r="F27" s="102"/>
      <c r="I27" s="113"/>
    </row>
    <row r="28" ht="10.5" customHeight="1">
      <c r="B28" s="114"/>
      <c r="C28" s="111" t="str">
        <f>"("&amp;ElimMatches!D36&amp;" : "&amp;ElimMatches!D37&amp;")"</f>
        <v>(1 : 2)</v>
      </c>
      <c r="D28" s="116" t="str">
        <f>ElimMatches!C43</f>
        <v>#3, HOFSTETTER / SHKARUPA</v>
      </c>
      <c r="E28" s="111"/>
      <c r="F28" s="102"/>
      <c r="I28" s="113"/>
    </row>
    <row r="29" ht="10.5" customHeight="1">
      <c r="B29" s="105" t="str">
        <f>ElimMatches!C24</f>
        <v>#3, HOFSTETTER / SHKARUPA</v>
      </c>
      <c r="C29" s="109"/>
      <c r="D29" s="100"/>
      <c r="E29" s="111"/>
      <c r="F29" s="102"/>
      <c r="I29" s="113"/>
    </row>
    <row r="30" ht="10.5" customHeight="1">
      <c r="B30" s="106"/>
      <c r="C30" s="111"/>
      <c r="D30" s="100"/>
      <c r="E30" s="82"/>
      <c r="I30" s="113"/>
    </row>
    <row r="31" ht="10.5" customHeight="1">
      <c r="A31" s="105" t="str">
        <f>ElimMatches!C8</f>
        <v>#11, HEISZENBERGER / WAJDA</v>
      </c>
      <c r="B31" s="107">
        <v>44.0</v>
      </c>
      <c r="C31" s="115"/>
      <c r="D31" s="100"/>
      <c r="E31" s="111"/>
      <c r="F31" s="119"/>
      <c r="I31" s="113"/>
    </row>
    <row r="32" ht="10.5" customHeight="1">
      <c r="A32" s="106"/>
      <c r="B32" s="109" t="str">
        <f>"("&amp;ElimMatches!D24&amp;" : "&amp;ElimMatches!D25&amp;")"</f>
        <v>(2 : 0)</v>
      </c>
      <c r="C32" s="116" t="str">
        <f>ElimMatches!C37</f>
        <v>#3, HOFSTETTER / SHKARUPA</v>
      </c>
      <c r="D32" s="100"/>
      <c r="E32" s="111"/>
      <c r="F32" s="102"/>
      <c r="I32" s="113"/>
    </row>
    <row r="33" ht="10.5" customHeight="1">
      <c r="A33" s="107">
        <v>36.0</v>
      </c>
      <c r="B33" s="110"/>
      <c r="C33" s="100"/>
      <c r="D33" s="100"/>
      <c r="E33" s="111"/>
      <c r="F33" s="120"/>
      <c r="I33" s="113"/>
    </row>
    <row r="34" ht="10.5" customHeight="1">
      <c r="A34" s="112" t="str">
        <f>"("&amp;ElimMatches!D8&amp;" : "&amp;ElimMatches!D9&amp;")"</f>
        <v>(2 : 0)</v>
      </c>
      <c r="B34" s="104" t="str">
        <f>ElimMatches!C25</f>
        <v>#11, HEISZENBERGER / WAJDA</v>
      </c>
      <c r="C34" s="100"/>
      <c r="D34" s="100"/>
      <c r="E34" s="111"/>
      <c r="F34" s="102"/>
      <c r="I34" s="113"/>
    </row>
    <row r="35" ht="10.5" customHeight="1">
      <c r="A35" s="105" t="str">
        <f>ElimMatches!C9</f>
        <v>#19, FERSTL-SCHMID / AIGNER</v>
      </c>
      <c r="B35" s="114"/>
      <c r="C35" s="100"/>
      <c r="D35" s="121"/>
      <c r="E35" s="107">
        <v>56.0</v>
      </c>
      <c r="F35" s="122" t="str">
        <f>ElimMatches!L48</f>
        <v>#3, HOFSTETTER / SHKARUPA</v>
      </c>
      <c r="I35" s="113"/>
    </row>
    <row r="36" ht="10.5" customHeight="1">
      <c r="B36" s="114"/>
      <c r="C36" s="100"/>
      <c r="D36" s="121"/>
      <c r="E36" s="111" t="str">
        <f>"("&amp;ElimMatches!D48&amp;" : "&amp;ElimMatches!D49&amp;")"</f>
        <v>(2 : 1)</v>
      </c>
      <c r="F36" s="123" t="s">
        <v>292</v>
      </c>
      <c r="I36" s="113"/>
    </row>
    <row r="37" ht="10.5" customHeight="1">
      <c r="B37" s="105" t="str">
        <f>ElimMatches!C26</f>
        <v>#4, KREMSER / MASCHERBAUER</v>
      </c>
      <c r="C37" s="100"/>
      <c r="D37" s="100"/>
      <c r="E37" s="111"/>
      <c r="F37" s="102"/>
      <c r="I37" s="113"/>
    </row>
    <row r="38" ht="10.5" customHeight="1">
      <c r="B38" s="106"/>
      <c r="C38" s="100"/>
      <c r="D38" s="100"/>
      <c r="E38" s="111"/>
      <c r="F38" s="102"/>
      <c r="I38" s="113"/>
    </row>
    <row r="39" ht="10.5" customHeight="1">
      <c r="A39" s="105" t="str">
        <f>ElimMatches!C10</f>
        <v>#14, TRIBELNIG / WEINDL</v>
      </c>
      <c r="B39" s="107">
        <v>45.0</v>
      </c>
      <c r="C39" s="108" t="str">
        <f>ElimMatches!C38</f>
        <v>#4, KREMSER / MASCHERBAUER</v>
      </c>
      <c r="D39" s="100"/>
      <c r="E39" s="111"/>
      <c r="F39" s="119"/>
      <c r="I39" s="113"/>
    </row>
    <row r="40" ht="10.5" customHeight="1">
      <c r="A40" s="106"/>
      <c r="B40" s="109" t="str">
        <f>"("&amp;ElimMatches!D26&amp;" : "&amp;ElimMatches!D27&amp;")"</f>
        <v>(2 : 0)</v>
      </c>
      <c r="C40" s="106"/>
      <c r="D40" s="100"/>
      <c r="E40" s="111"/>
      <c r="I40" s="113"/>
    </row>
    <row r="41" ht="10.5" customHeight="1">
      <c r="A41" s="107">
        <v>37.0</v>
      </c>
      <c r="B41" s="110"/>
      <c r="C41" s="111"/>
      <c r="D41" s="100"/>
      <c r="E41" s="111"/>
      <c r="F41" s="102"/>
      <c r="I41" s="113"/>
    </row>
    <row r="42" ht="10.5" customHeight="1">
      <c r="A42" s="112" t="str">
        <f>"("&amp;ElimMatches!D10&amp;" : "&amp;ElimMatches!D11&amp;")"</f>
        <v>(2 : 1)</v>
      </c>
      <c r="B42" s="104" t="str">
        <f>ElimMatches!C27</f>
        <v>#14, TRIBELNIG / WEINDL</v>
      </c>
      <c r="C42" s="111"/>
      <c r="D42" s="100"/>
      <c r="E42" s="111"/>
      <c r="F42" s="102"/>
      <c r="I42" s="113"/>
    </row>
    <row r="43" ht="10.5" customHeight="1">
      <c r="A43" s="105" t="str">
        <f>ElimMatches!C11</f>
        <v>#23, GIFFINGER / FREY</v>
      </c>
      <c r="B43" s="114"/>
      <c r="C43" s="107">
        <v>51.0</v>
      </c>
      <c r="D43" s="108" t="str">
        <f>ElimMatches!C44</f>
        <v>#4, KREMSER / MASCHERBAUER</v>
      </c>
      <c r="E43" s="111"/>
      <c r="F43" s="102"/>
      <c r="I43" s="113"/>
    </row>
    <row r="44" ht="10.5" customHeight="1">
      <c r="B44" s="114"/>
      <c r="C44" s="111" t="str">
        <f>"("&amp;ElimMatches!D38&amp;" : "&amp;ElimMatches!D39&amp;")"</f>
        <v>(2 : 1)</v>
      </c>
      <c r="D44" s="106"/>
      <c r="E44" s="111"/>
      <c r="F44" s="102"/>
      <c r="I44" s="113"/>
    </row>
    <row r="45" ht="10.5" customHeight="1">
      <c r="B45" s="105" t="str">
        <f>ElimMatches!C28</f>
        <v>#6, SCHLAX / WAGNER</v>
      </c>
      <c r="C45" s="109"/>
      <c r="D45" s="111"/>
      <c r="E45" s="111"/>
      <c r="F45" s="102"/>
      <c r="I45" s="113"/>
    </row>
    <row r="46" ht="10.5" customHeight="1">
      <c r="B46" s="106"/>
      <c r="C46" s="111"/>
      <c r="D46" s="111"/>
      <c r="E46" s="111"/>
      <c r="F46" s="102"/>
      <c r="I46" s="113"/>
    </row>
    <row r="47" ht="10.5" customHeight="1">
      <c r="A47" s="105" t="str">
        <f>ElimMatches!C12</f>
        <v>#12, HAGER / WICHO</v>
      </c>
      <c r="B47" s="107">
        <v>46.0</v>
      </c>
      <c r="C47" s="115"/>
      <c r="D47" s="111"/>
      <c r="E47" s="111"/>
      <c r="F47" s="102"/>
      <c r="I47" s="113"/>
    </row>
    <row r="48" ht="10.5" customHeight="1">
      <c r="A48" s="106"/>
      <c r="B48" s="109" t="str">
        <f>"("&amp;ElimMatches!D28&amp;" : "&amp;ElimMatches!D29&amp;")"</f>
        <v>(2 : 0)</v>
      </c>
      <c r="C48" s="116" t="str">
        <f>ElimMatches!C39</f>
        <v>#6, SCHLAX / WAGNER</v>
      </c>
      <c r="D48" s="111"/>
      <c r="E48" s="111"/>
      <c r="F48" s="102"/>
      <c r="I48" s="113"/>
    </row>
    <row r="49" ht="10.5" customHeight="1">
      <c r="A49" s="107">
        <v>38.0</v>
      </c>
      <c r="B49" s="110"/>
      <c r="C49" s="100"/>
      <c r="D49" s="111"/>
      <c r="E49" s="111"/>
      <c r="F49" s="102"/>
      <c r="I49" s="113"/>
    </row>
    <row r="50" ht="10.5" customHeight="1">
      <c r="A50" s="112" t="str">
        <f>"("&amp;ElimMatches!D12&amp;" : "&amp;ElimMatches!D13&amp;")"</f>
        <v>(1 : 2)</v>
      </c>
      <c r="B50" s="116" t="str">
        <f>ElimMatches!C29</f>
        <v>#27, MACINKOVIC / WAGNER</v>
      </c>
      <c r="C50" s="100"/>
      <c r="D50" s="82"/>
      <c r="E50" s="111"/>
      <c r="I50" s="113"/>
    </row>
    <row r="51" ht="10.5" customHeight="1">
      <c r="A51" s="105" t="str">
        <f>ElimMatches!C13</f>
        <v>#27, MACINKOVIC / WAGNER</v>
      </c>
      <c r="B51" s="114"/>
      <c r="C51" s="100"/>
      <c r="D51" s="107">
        <v>54.0</v>
      </c>
      <c r="E51" s="124"/>
      <c r="F51" s="102"/>
      <c r="I51" s="113"/>
    </row>
    <row r="52" ht="10.5" customHeight="1">
      <c r="B52" s="114"/>
      <c r="C52" s="100"/>
      <c r="D52" s="111" t="str">
        <f>"("&amp;ElimMatches!D44&amp;" : "&amp;ElimMatches!D45&amp;")"</f>
        <v>(2 : 0)</v>
      </c>
      <c r="E52" s="116" t="str">
        <f>ElimMatches!C49</f>
        <v>#4, KREMSER / MASCHERBAUER</v>
      </c>
      <c r="F52" s="103"/>
      <c r="I52" s="113"/>
    </row>
    <row r="53" ht="10.5" customHeight="1">
      <c r="B53" s="105" t="str">
        <f>ElimMatches!C30</f>
        <v>#8, PANY / PALENCZAT</v>
      </c>
      <c r="C53" s="100"/>
      <c r="D53" s="109"/>
      <c r="E53" s="100"/>
      <c r="F53" s="121"/>
      <c r="I53" s="113"/>
    </row>
    <row r="54" ht="10.5" customHeight="1">
      <c r="B54" s="106"/>
      <c r="C54" s="100"/>
      <c r="D54" s="111"/>
      <c r="E54" s="100"/>
      <c r="F54" s="117"/>
      <c r="I54" s="113"/>
    </row>
    <row r="55" ht="10.5" customHeight="1">
      <c r="A55" s="105" t="str">
        <f>ElimMatches!C14</f>
        <v>#7, HOCHREITER / WINDISCH</v>
      </c>
      <c r="B55" s="107">
        <v>47.0</v>
      </c>
      <c r="C55" s="108" t="str">
        <f>ElimMatches!C40</f>
        <v>#8, PANY / PALENCZAT</v>
      </c>
      <c r="D55" s="111"/>
      <c r="E55" s="100"/>
      <c r="F55" s="102"/>
      <c r="I55" s="113"/>
    </row>
    <row r="56" ht="10.5" customHeight="1">
      <c r="A56" s="106"/>
      <c r="B56" s="109" t="str">
        <f>"("&amp;ElimMatches!D30&amp;" : "&amp;ElimMatches!D31&amp;")"</f>
        <v>(2 : 0)</v>
      </c>
      <c r="C56" s="106"/>
      <c r="D56" s="111"/>
      <c r="E56" s="100"/>
      <c r="F56" s="102"/>
      <c r="I56" s="113"/>
    </row>
    <row r="57" ht="10.5" customHeight="1">
      <c r="A57" s="107">
        <v>39.0</v>
      </c>
      <c r="B57" s="110" t="str">
        <f>ElimMatches!C31</f>
        <v>#7, HOCHREITER / WINDISCH</v>
      </c>
      <c r="C57" s="111"/>
      <c r="D57" s="111"/>
      <c r="E57" s="100"/>
      <c r="F57" s="102"/>
      <c r="I57" s="113"/>
    </row>
    <row r="58" ht="10.5" customHeight="1">
      <c r="A58" s="112" t="str">
        <f>"("&amp;ElimMatches!D14&amp;" : "&amp;ElimMatches!D15&amp;")"</f>
        <v>(2 : 0)</v>
      </c>
      <c r="B58" s="116"/>
      <c r="C58" s="111"/>
      <c r="D58" s="111"/>
      <c r="E58" s="100"/>
      <c r="F58" s="102"/>
      <c r="I58" s="113"/>
    </row>
    <row r="59" ht="10.5" customHeight="1">
      <c r="A59" s="105" t="str">
        <f>ElimMatches!C15</f>
        <v>#9, PARKANYI / FAVARETTO</v>
      </c>
      <c r="B59" s="114"/>
      <c r="C59" s="107">
        <v>52.0</v>
      </c>
      <c r="D59" s="115"/>
      <c r="E59" s="100"/>
      <c r="F59" s="102"/>
      <c r="I59" s="113"/>
    </row>
    <row r="60" ht="10.5" customHeight="1">
      <c r="B60" s="114"/>
      <c r="C60" s="111" t="str">
        <f>"("&amp;ElimMatches!D40&amp;" : "&amp;ElimMatches!D41&amp;")"</f>
        <v>(0 : 2)</v>
      </c>
      <c r="D60" s="116" t="str">
        <f>ElimMatches!C45</f>
        <v>#2, ELSNER / PFAU</v>
      </c>
      <c r="E60" s="100"/>
      <c r="F60" s="102"/>
      <c r="I60" s="113"/>
    </row>
    <row r="61" ht="10.5" customHeight="1">
      <c r="B61" s="105" t="str">
        <f>ElimMatches!C32</f>
        <v>#2, ELSNER / PFAU</v>
      </c>
      <c r="C61" s="109"/>
      <c r="D61" s="100"/>
      <c r="E61" s="102"/>
      <c r="F61" s="102"/>
      <c r="I61" s="113"/>
    </row>
    <row r="62" ht="10.5" customHeight="1">
      <c r="B62" s="106"/>
      <c r="C62" s="111"/>
      <c r="D62" s="100"/>
      <c r="E62" s="102"/>
      <c r="F62" s="102"/>
      <c r="I62" s="113"/>
    </row>
    <row r="63" ht="10.5" customHeight="1">
      <c r="A63" s="105" t="str">
        <f>ElimMatches!C16</f>
        <v>#17, PAUMANN / ANGERER</v>
      </c>
      <c r="B63" s="107">
        <v>48.0</v>
      </c>
      <c r="C63" s="115"/>
      <c r="D63" s="100"/>
      <c r="E63" s="105" t="str">
        <f>ElimMatches!C46</f>
        <v>#1, BAUER / HASELSTEINER</v>
      </c>
      <c r="F63" s="102"/>
      <c r="I63" s="113"/>
    </row>
    <row r="64" ht="10.5" customHeight="1">
      <c r="A64" s="106"/>
      <c r="B64" s="109" t="str">
        <f>"("&amp;ElimMatches!D32&amp;" : "&amp;ElimMatches!D33&amp;")"</f>
        <v>(2 : 0)</v>
      </c>
      <c r="C64" s="116" t="str">
        <f>ElimMatches!C41</f>
        <v>#2, ELSNER / PFAU</v>
      </c>
      <c r="D64" s="100"/>
      <c r="E64" s="125" t="str">
        <f>"("&amp;ElimMatches!D46&amp;" : "&amp;ElimMatches!D47&amp;")"</f>
        <v>(2 : 0)</v>
      </c>
      <c r="F64" s="102"/>
      <c r="I64" s="113"/>
    </row>
    <row r="65" ht="10.5" customHeight="1">
      <c r="A65" s="107">
        <v>40.0</v>
      </c>
      <c r="B65" s="110" t="str">
        <f>ElimMatches!C33</f>
        <v>#17, PAUMANN / ANGERER</v>
      </c>
      <c r="C65" s="100"/>
      <c r="D65" s="100"/>
      <c r="E65" s="107">
        <v>55.0</v>
      </c>
      <c r="F65" s="122" t="str">
        <f>ElimMatches!L46</f>
        <v>#1, BAUER / HASELSTEINER</v>
      </c>
      <c r="I65" s="113"/>
    </row>
    <row r="66" ht="10.5" customHeight="1">
      <c r="A66" s="112" t="str">
        <f>"("&amp;ElimMatches!D16&amp;" : "&amp;ElimMatches!D17&amp;")"</f>
        <v>(2 : 0)</v>
      </c>
      <c r="B66" s="104"/>
      <c r="C66" s="100"/>
      <c r="D66" s="100"/>
      <c r="E66" s="110"/>
      <c r="F66" s="123" t="s">
        <v>291</v>
      </c>
      <c r="I66" s="113"/>
    </row>
    <row r="67" ht="10.5" customHeight="1">
      <c r="A67" s="105" t="str">
        <f>ElimMatches!C17</f>
        <v>#26, KAMIENIARZ / SAMS</v>
      </c>
      <c r="E67" s="105" t="str">
        <f>ElimMatches!C47</f>
        <v>#2, ELSNER / PFAU</v>
      </c>
    </row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38.71"/>
    <col customWidth="1" min="3" max="26" width="10.71"/>
  </cols>
  <sheetData>
    <row r="1" ht="15.0" customHeight="1">
      <c r="A1" s="28" t="s">
        <v>296</v>
      </c>
      <c r="B1" s="28" t="s">
        <v>208</v>
      </c>
      <c r="C1" s="25"/>
      <c r="D1" s="126" t="s">
        <v>209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28">
        <v>1.0</v>
      </c>
      <c r="B2" s="28" t="str">
        <f>ElimMatches!L48</f>
        <v>#3, HOFSTETTER / SHKARUPA</v>
      </c>
      <c r="C2" s="25"/>
      <c r="D2" s="127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28">
        <v>2.0</v>
      </c>
      <c r="B3" s="28" t="str">
        <f>ElimMatches!M48</f>
        <v>#4, KREMSER / MASCHERBAUER</v>
      </c>
      <c r="C3" s="25"/>
      <c r="D3" s="127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28">
        <v>3.0</v>
      </c>
      <c r="B4" s="28" t="str">
        <f>ElimMatches!L46</f>
        <v>#1, BAUER / HASELSTEINER</v>
      </c>
      <c r="C4" s="25"/>
      <c r="D4" s="127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28">
        <v>4.0</v>
      </c>
      <c r="B5" s="28" t="str">
        <f>ElimMatches!M46</f>
        <v>#2, ELSNER / PFAU</v>
      </c>
      <c r="C5" s="25"/>
      <c r="D5" s="127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>
      <c r="A6" s="28">
        <v>5.0</v>
      </c>
      <c r="B6" s="28" t="str">
        <f>ElimMatches!M34</f>
        <v>#15, MATĚJKOVÁ / SANCHEZ</v>
      </c>
      <c r="C6" s="25"/>
      <c r="D6" s="127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>
      <c r="A7" s="28">
        <v>5.0</v>
      </c>
      <c r="B7" s="28" t="str">
        <f>ElimMatches!M36</f>
        <v>#5, BISANZ / HAMMARBERG</v>
      </c>
      <c r="C7" s="25"/>
      <c r="D7" s="127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>
      <c r="A8" s="28">
        <v>5.0</v>
      </c>
      <c r="B8" s="28" t="str">
        <f>ElimMatches!M38</f>
        <v>#6, SCHLAX / WAGNER</v>
      </c>
      <c r="C8" s="25"/>
      <c r="D8" s="12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>
      <c r="A9" s="28">
        <v>5.0</v>
      </c>
      <c r="B9" s="28" t="str">
        <f>ElimMatches!M40</f>
        <v>#8, PANY / PALENCZAT</v>
      </c>
      <c r="C9" s="25"/>
      <c r="D9" s="127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>
      <c r="A10" s="28">
        <v>9.0</v>
      </c>
      <c r="B10" s="28" t="str">
        <f>ElimMatches!M18</f>
        <v>#16, YESSIMOVA / GLANNINGER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>
      <c r="A11" s="28">
        <v>9.0</v>
      </c>
      <c r="B11" s="28" t="str">
        <f>ElimMatches!M20</f>
        <v>#13, SZUDA / STÜRZ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>
      <c r="A12" s="28">
        <v>9.0</v>
      </c>
      <c r="B12" s="28" t="str">
        <f>ElimMatches!M22</f>
        <v>#22, PICHLER / GRAF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>
      <c r="A13" s="28">
        <v>9.0</v>
      </c>
      <c r="B13" s="28" t="str">
        <f>ElimMatches!M24</f>
        <v>#11, HEISZENBERGER / WAJDA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>
      <c r="A14" s="28">
        <v>9.0</v>
      </c>
      <c r="B14" s="28" t="str">
        <f>ElimMatches!M26</f>
        <v>#14, TRIBELNIG / WEINDL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>
      <c r="A15" s="28">
        <v>9.0</v>
      </c>
      <c r="B15" s="28" t="str">
        <f>ElimMatches!M28</f>
        <v>#27, MACINKOVIC / WAGNER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>
      <c r="A16" s="28">
        <v>9.0</v>
      </c>
      <c r="B16" s="28" t="str">
        <f>ElimMatches!M30</f>
        <v>#7, HOCHREITER / WINDISCH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>
      <c r="A17" s="28">
        <v>9.0</v>
      </c>
      <c r="B17" s="28" t="str">
        <f>ElimMatches!M32</f>
        <v>#17, PAUMANN / ANGERER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>
      <c r="A18" s="28">
        <v>17.0</v>
      </c>
      <c r="B18" s="28" t="str">
        <f>ElimMatches!M2</f>
        <v>#10, BOYD / STEGMÜLLER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>
      <c r="A19" s="28">
        <v>17.0</v>
      </c>
      <c r="B19" s="28" t="str">
        <f>ElimMatches!M4</f>
        <v>#18, BEYER / SCHINAGL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>
      <c r="A20" s="28">
        <v>17.0</v>
      </c>
      <c r="B20" s="28" t="str">
        <f>ElimMatches!M6</f>
        <v>#20, HAYDN / DÜRNITZHOFER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5.75" customHeight="1">
      <c r="A21" s="28">
        <v>17.0</v>
      </c>
      <c r="B21" s="28" t="str">
        <f>ElimMatches!M8</f>
        <v>#19, FERSTL-SCHMID / AIGNER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5.75" customHeight="1">
      <c r="A22" s="28">
        <v>17.0</v>
      </c>
      <c r="B22" s="28" t="str">
        <f>ElimMatches!M10</f>
        <v>#23, GIFFINGER / FREY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5.75" customHeight="1">
      <c r="A23" s="28">
        <v>17.0</v>
      </c>
      <c r="B23" s="28" t="str">
        <f>ElimMatches!M12</f>
        <v>#12, HAGER / WICHO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5.75" customHeight="1">
      <c r="A24" s="28">
        <v>17.0</v>
      </c>
      <c r="B24" s="28" t="str">
        <f>ElimMatches!M14</f>
        <v>#9, PARKANYI / FAVARETTO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5.75" customHeight="1">
      <c r="A25" s="28">
        <v>17.0</v>
      </c>
      <c r="B25" s="28" t="str">
        <f>ElimMatches!M16</f>
        <v>#26, KAMIENIARZ / SAMS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5.75" customHeight="1">
      <c r="A26" s="28">
        <v>25.0</v>
      </c>
      <c r="B26" s="28" t="str">
        <f t="array" ref="B26">INDEX(Draws!$B$26:Draws!$B$32,MATCH(4,Draws!$E$26:Draws!$E$32,0))</f>
        <v>#25, PRINZHORN / SALLMANNSHOFER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5.75" customHeight="1">
      <c r="A27" s="28">
        <v>25.0</v>
      </c>
      <c r="B27" s="28" t="str">
        <f t="array" ref="B27">INDEX(Draws!$B$26:Draws!$B$32,MATCH(5,Draws!$E$26:Draws!$E$32,0))</f>
        <v>#28, SCHUSTER / MASSIN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5.75" customHeight="1">
      <c r="A28" s="28">
        <v>25.0</v>
      </c>
      <c r="B28" s="28" t="str">
        <f t="array" ref="B28">INDEX(Draws!$B$26:Draws!$B$32,MATCH(6,Draws!$E$26:Draws!$E$32,0))</f>
        <v>#21, MARK / WOLF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5.75" customHeight="1">
      <c r="A29" s="28">
        <v>25.0</v>
      </c>
      <c r="B29" s="28" t="str">
        <f t="array" ref="B29">INDEX(Draws!$B$26:Draws!$B$32,MATCH(7,Draws!$E$26:Draws!$E$32,0))</f>
        <v>#24, SCHENK / SCHWARZ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2019-09-11T08:38:26Z</dcterms:created>
  <dc:creator>Christian Lick</dc:creator>
</cp:coreProperties>
</file>