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oku" sheetId="1" r:id="rId4"/>
    <sheet state="visible" name="Data" sheetId="2" r:id="rId5"/>
    <sheet state="visible" name="Nennliste" sheetId="3" r:id="rId6"/>
    <sheet state="visible" name="Import" sheetId="4" r:id="rId7"/>
    <sheet state="visible" name="Seeding" sheetId="5" r:id="rId8"/>
    <sheet state="visible" name="Pools" sheetId="6" r:id="rId9"/>
    <sheet state="visible" name="PoolMatches" sheetId="7" r:id="rId10"/>
    <sheet state="visible" name="PoolStandings" sheetId="8" r:id="rId11"/>
    <sheet state="visible" name="Draws" sheetId="9" r:id="rId12"/>
    <sheet state="visible" name="ElimMatches" sheetId="10" r:id="rId13"/>
    <sheet state="visible" name="Bracket" sheetId="11" r:id="rId14"/>
    <sheet state="visible" name="Result" sheetId="12" r:id="rId15"/>
  </sheets>
  <definedNames>
    <definedName hidden="1" localSheetId="3" name="_xlnm._FilterDatabase">Import!$A$1:$D$33</definedName>
  </definedNames>
  <calcPr/>
  <extLst>
    <ext uri="GoogleSheetsCustomDataVersion2">
      <go:sheetsCustomData xmlns:go="http://customooxmlschemas.google.com/" r:id="rId16" roundtripDataChecksum="vC1Yves8GS8ocTVDZkg33d6AdZvRNredmth36cRuSyo="/>
    </ext>
  </extLst>
</workbook>
</file>

<file path=xl/sharedStrings.xml><?xml version="1.0" encoding="utf-8"?>
<sst xmlns="http://schemas.openxmlformats.org/spreadsheetml/2006/main" count="742" uniqueCount="312">
  <si>
    <r>
      <rPr>
        <rFont val="Calibri"/>
        <i/>
        <color theme="1"/>
        <sz val="11.0"/>
      </rPr>
      <t>Import:</t>
    </r>
    <r>
      <rPr>
        <rFont val="Calibri"/>
        <color theme="1"/>
        <sz val="11.0"/>
      </rPr>
      <t xml:space="preserve"> Die blauen Felder von Hand befüllen (Entry Points Team optional zu befüllen)
Eingabe Wildcard mit "Ja"</t>
    </r>
  </si>
  <si>
    <r>
      <rPr>
        <rFont val="Calibri"/>
        <color theme="1"/>
        <sz val="11.0"/>
      </rPr>
      <t xml:space="preserve">evtl. </t>
    </r>
    <r>
      <rPr>
        <rFont val="Calibri"/>
        <i/>
        <color theme="1"/>
        <sz val="11.0"/>
      </rPr>
      <t xml:space="preserve">Import </t>
    </r>
    <r>
      <rPr>
        <rFont val="Calibri"/>
        <color theme="1"/>
        <sz val="11.0"/>
      </rPr>
      <t>nach Seed sortieren</t>
    </r>
  </si>
  <si>
    <r>
      <rPr>
        <rFont val="Calibri"/>
        <i/>
        <color theme="1"/>
        <sz val="11.0"/>
      </rPr>
      <t>Seeding</t>
    </r>
    <r>
      <rPr>
        <rFont val="Calibri"/>
        <color theme="1"/>
        <sz val="11.0"/>
      </rPr>
      <t xml:space="preserve"> und </t>
    </r>
    <r>
      <rPr>
        <rFont val="Calibri"/>
        <i/>
        <color theme="1"/>
        <sz val="11.0"/>
      </rPr>
      <t>Pools</t>
    </r>
    <r>
      <rPr>
        <rFont val="Calibri"/>
        <color theme="1"/>
        <sz val="11.0"/>
      </rPr>
      <t xml:space="preserve"> generieren sich automatisch</t>
    </r>
  </si>
  <si>
    <t>Seed 21 bis Seed 24 sind mit Q (=Qualifikanten) vorgegeben, wenn kein Qualifikations-
turnier =&gt; löschen</t>
  </si>
  <si>
    <r>
      <rPr>
        <rFont val="Calibri"/>
        <i/>
        <color theme="1"/>
        <sz val="11.0"/>
      </rPr>
      <t xml:space="preserve">Pool Matches: </t>
    </r>
    <r>
      <rPr>
        <rFont val="Calibri"/>
        <color theme="1"/>
        <sz val="11.0"/>
      </rPr>
      <t>nach jedem Spiel Ergebnis eintragen</t>
    </r>
  </si>
  <si>
    <t>Nur die blauen Felder befüllen!</t>
  </si>
  <si>
    <r>
      <rPr>
        <rFont val="Calibri"/>
        <i/>
        <color theme="1"/>
        <sz val="11.0"/>
      </rPr>
      <t>Draws:</t>
    </r>
    <r>
      <rPr>
        <rFont val="Calibri"/>
        <color theme="1"/>
        <sz val="11.0"/>
      </rPr>
      <t xml:space="preserve"> Draws durchführen lt. FIVB Sports Regulations </t>
    </r>
  </si>
  <si>
    <t>Seed 1: bester 1. Grp. A/B 
Seed 2: schlechtester 1. Grp. A/B (beide Teams werden automatisch generiert)</t>
  </si>
  <si>
    <t>In der Spalte "Order of Draw" ist die Reihenfolge der Ziehung und die Setzung der gezogenen Teams inkl. welches Spiel gelost wurde bereits vorgegeben!</t>
  </si>
  <si>
    <t>Die farbigen Felder (Team) von Hand befüllen oder Teamnamen kopieren!</t>
  </si>
  <si>
    <t>Teamnamen der beiden schlechtesten Gruppendritten in gelbe Felder kopieren!</t>
  </si>
  <si>
    <r>
      <rPr>
        <rFont val="Calibri"/>
        <i/>
        <color theme="1"/>
        <sz val="11.0"/>
      </rPr>
      <t>Elimination Matches</t>
    </r>
    <r>
      <rPr>
        <rFont val="Calibri"/>
        <color theme="1"/>
        <sz val="11.0"/>
      </rPr>
      <t xml:space="preserve"> und </t>
    </r>
    <r>
      <rPr>
        <rFont val="Calibri"/>
        <i/>
        <color theme="1"/>
        <sz val="11.0"/>
      </rPr>
      <t>Bracket</t>
    </r>
    <r>
      <rPr>
        <rFont val="Calibri"/>
        <color theme="1"/>
        <sz val="11.0"/>
      </rPr>
      <t xml:space="preserve"> werden generiert</t>
    </r>
  </si>
  <si>
    <r>
      <rPr>
        <rFont val="Calibri"/>
        <i/>
        <color theme="1"/>
        <sz val="11.0"/>
      </rPr>
      <t xml:space="preserve">ElimMatches: </t>
    </r>
    <r>
      <rPr>
        <rFont val="Calibri"/>
        <color theme="1"/>
        <sz val="11.0"/>
      </rPr>
      <t>nach jedem Spiel eintragen</t>
    </r>
  </si>
  <si>
    <r>
      <rPr>
        <rFont val="Calibri"/>
        <i/>
        <color theme="1"/>
        <sz val="11.0"/>
      </rPr>
      <t xml:space="preserve">Result </t>
    </r>
    <r>
      <rPr>
        <rFont val="Calibri"/>
        <color theme="1"/>
        <sz val="11.0"/>
      </rPr>
      <t>zeigt die endgültigen Platzierungen</t>
    </r>
  </si>
  <si>
    <t>Beach Volleyball-Referat: Christian Lick</t>
  </si>
  <si>
    <t xml:space="preserve">E-Mail: beachreferat@volleynet.at </t>
  </si>
  <si>
    <t>Telefon: +43660 689 57 34 (Do 14-18, Fr 12-16 Uhr)</t>
  </si>
  <si>
    <t>Setzliste</t>
  </si>
  <si>
    <t>spacer ?</t>
  </si>
  <si>
    <t>Nr.</t>
  </si>
  <si>
    <t>Spieler</t>
  </si>
  <si>
    <t>Liz.</t>
  </si>
  <si>
    <t>LV</t>
  </si>
  <si>
    <t>Punkte</t>
  </si>
  <si>
    <t>Gesamt Punkte</t>
  </si>
  <si>
    <t>Meldung</t>
  </si>
  <si>
    <t>CSEKÖ Alexander</t>
  </si>
  <si>
    <t>WVV</t>
  </si>
  <si>
    <t>CSEKÖ</t>
  </si>
  <si>
    <t>Alexander</t>
  </si>
  <si>
    <t>TRAUTH</t>
  </si>
  <si>
    <t>Raphael</t>
  </si>
  <si>
    <t>TRAUTH Raphael</t>
  </si>
  <si>
    <t>NÖVV</t>
  </si>
  <si>
    <t>FÜHRER Christoph</t>
  </si>
  <si>
    <t>FÜHRER</t>
  </si>
  <si>
    <t>Christoph</t>
  </si>
  <si>
    <t>SEISER</t>
  </si>
  <si>
    <t>Michael</t>
  </si>
  <si>
    <t>SEISER Michael</t>
  </si>
  <si>
    <t>LAGZDIŅŠ Toms</t>
  </si>
  <si>
    <t>LAGZDIŅŠ</t>
  </si>
  <si>
    <t>Toms</t>
  </si>
  <si>
    <t>SPONER</t>
  </si>
  <si>
    <t>SPONER Alexander</t>
  </si>
  <si>
    <t>LEITNER Felix</t>
  </si>
  <si>
    <t>OÖVV</t>
  </si>
  <si>
    <t>LEITNER</t>
  </si>
  <si>
    <t>Felix</t>
  </si>
  <si>
    <t>EDER</t>
  </si>
  <si>
    <t>Daniel</t>
  </si>
  <si>
    <t>EDER Daniel</t>
  </si>
  <si>
    <t>WESP Jonas</t>
  </si>
  <si>
    <t>WESP</t>
  </si>
  <si>
    <t>Jonas</t>
  </si>
  <si>
    <t>PFEIFFER</t>
  </si>
  <si>
    <t>PFEIFFER Michael</t>
  </si>
  <si>
    <t>CUBASCH Onno</t>
  </si>
  <si>
    <t>CUBASCH</t>
  </si>
  <si>
    <t>Onno</t>
  </si>
  <si>
    <t>NEHULIAIEV</t>
  </si>
  <si>
    <t>Oleksandr</t>
  </si>
  <si>
    <t>NEHULIAIEV Oleksandr</t>
  </si>
  <si>
    <t>HOHENAUER Paul</t>
  </si>
  <si>
    <t>HOHENAUER</t>
  </si>
  <si>
    <t>Paul</t>
  </si>
  <si>
    <t>CARMANN</t>
  </si>
  <si>
    <t>Christoph Peter</t>
  </si>
  <si>
    <t>CARMANN Christoph Peter</t>
  </si>
  <si>
    <t>SCHEUCHER Lukas</t>
  </si>
  <si>
    <t>STVV</t>
  </si>
  <si>
    <t>SCHEUCHER</t>
  </si>
  <si>
    <t>Lukas</t>
  </si>
  <si>
    <t>BAUER</t>
  </si>
  <si>
    <t>BAUER Alexander</t>
  </si>
  <si>
    <t>HARTEL Simon</t>
  </si>
  <si>
    <t>HARTEL</t>
  </si>
  <si>
    <t>Simon</t>
  </si>
  <si>
    <t>SANDNER</t>
  </si>
  <si>
    <t>Tobias</t>
  </si>
  <si>
    <t>SANDNER Tobias</t>
  </si>
  <si>
    <t>JANOTTA Tobias Michael</t>
  </si>
  <si>
    <t>JANOTTA</t>
  </si>
  <si>
    <t>Tobias Michael</t>
  </si>
  <si>
    <t>OFNER</t>
  </si>
  <si>
    <t>OFNER Tobias</t>
  </si>
  <si>
    <t>TKACHENKO Nikita</t>
  </si>
  <si>
    <t>TKACHENKO</t>
  </si>
  <si>
    <t>Nikita</t>
  </si>
  <si>
    <t>KURZMANN</t>
  </si>
  <si>
    <t>Jakob-Lars</t>
  </si>
  <si>
    <t>KURZMANN Jakob-Lars</t>
  </si>
  <si>
    <t>ALBRECHT Dominik</t>
  </si>
  <si>
    <t>ALBRECHT</t>
  </si>
  <si>
    <t>Dominik</t>
  </si>
  <si>
    <t>HRADECSNI</t>
  </si>
  <si>
    <t>David</t>
  </si>
  <si>
    <t>HRADECSNI David</t>
  </si>
  <si>
    <t>TVV</t>
  </si>
  <si>
    <t>BARNABA Fabio</t>
  </si>
  <si>
    <t>BARNABA</t>
  </si>
  <si>
    <t>Fabio</t>
  </si>
  <si>
    <t>HOLEČEK</t>
  </si>
  <si>
    <t>Marek</t>
  </si>
  <si>
    <t>HOLEČEK Marek</t>
  </si>
  <si>
    <t>MOROSINI Martino</t>
  </si>
  <si>
    <t>MOROSINI</t>
  </si>
  <si>
    <t>Martino</t>
  </si>
  <si>
    <t>JOVANOVIĆ</t>
  </si>
  <si>
    <t>Luka</t>
  </si>
  <si>
    <t>JOVANOVIĆ Luka</t>
  </si>
  <si>
    <t>KLAFFINGER Ralph Marian</t>
  </si>
  <si>
    <t>KLAFFINGER</t>
  </si>
  <si>
    <t>Ralph Marian</t>
  </si>
  <si>
    <t>ECKELBACHER</t>
  </si>
  <si>
    <t>Stefan</t>
  </si>
  <si>
    <t>ECKELBACHER Stefan</t>
  </si>
  <si>
    <t>ZECHA Florian</t>
  </si>
  <si>
    <t>ZECHA</t>
  </si>
  <si>
    <t>Florian</t>
  </si>
  <si>
    <t>GRÜNWERTH</t>
  </si>
  <si>
    <t>GRÜNWERTH Stefan</t>
  </si>
  <si>
    <t>KVV</t>
  </si>
  <si>
    <t>NOLL Maximilian</t>
  </si>
  <si>
    <t>NOLL</t>
  </si>
  <si>
    <t>Maximilian</t>
  </si>
  <si>
    <t>WEIKERT</t>
  </si>
  <si>
    <t>WEIKERT Florian</t>
  </si>
  <si>
    <t>KACZMARCZYK Krzysztof</t>
  </si>
  <si>
    <t>KACZMARCZYK</t>
  </si>
  <si>
    <t>Krzysztof</t>
  </si>
  <si>
    <t>GRAM</t>
  </si>
  <si>
    <t>GRAM Michael</t>
  </si>
  <si>
    <t>SUN Han</t>
  </si>
  <si>
    <t>SUN</t>
  </si>
  <si>
    <t>Han</t>
  </si>
  <si>
    <t>LAKOMY</t>
  </si>
  <si>
    <t>LAKOMY Felix</t>
  </si>
  <si>
    <t>HOFBAUER Julian</t>
  </si>
  <si>
    <t>HOFBAUER</t>
  </si>
  <si>
    <t>Julian</t>
  </si>
  <si>
    <t>BOHACEK</t>
  </si>
  <si>
    <t>Horst</t>
  </si>
  <si>
    <t>BOHACEK Horst</t>
  </si>
  <si>
    <t>JOBST Nico</t>
  </si>
  <si>
    <t>JOBST</t>
  </si>
  <si>
    <t>Nico</t>
  </si>
  <si>
    <t>GAPPNIG</t>
  </si>
  <si>
    <t>Jan-Erik</t>
  </si>
  <si>
    <t>GAPPNIG Jan-Erik</t>
  </si>
  <si>
    <t>SCHEBELLA David</t>
  </si>
  <si>
    <t>SCHEBELLA</t>
  </si>
  <si>
    <t>GRAF</t>
  </si>
  <si>
    <t>GRAF Alexander</t>
  </si>
  <si>
    <t>LANGER Moritz</t>
  </si>
  <si>
    <t>LANGER</t>
  </si>
  <si>
    <t>Moritz</t>
  </si>
  <si>
    <t>SAFTIUK</t>
  </si>
  <si>
    <t>Maksym</t>
  </si>
  <si>
    <t>SAFTIUK Maksym</t>
  </si>
  <si>
    <t>LEPIC Jakob</t>
  </si>
  <si>
    <t>SVV</t>
  </si>
  <si>
    <t>LEPIC</t>
  </si>
  <si>
    <t>Jakob</t>
  </si>
  <si>
    <t>VUKOVIC</t>
  </si>
  <si>
    <t>Jan</t>
  </si>
  <si>
    <t>VUKOVIC Jan</t>
  </si>
  <si>
    <t>EICHINGER Marc</t>
  </si>
  <si>
    <t>EICHINGER</t>
  </si>
  <si>
    <t>Marc</t>
  </si>
  <si>
    <t>REISS</t>
  </si>
  <si>
    <t>Aaron</t>
  </si>
  <si>
    <t>REISS Aaron</t>
  </si>
  <si>
    <t>TIWALD Martin</t>
  </si>
  <si>
    <t>TIWALD</t>
  </si>
  <si>
    <t>Martin</t>
  </si>
  <si>
    <t>ALTENRIEDERER</t>
  </si>
  <si>
    <t>Jürgen</t>
  </si>
  <si>
    <t>ALTENRIEDERER Jürgen</t>
  </si>
  <si>
    <t>MALICKI Jakob Julian</t>
  </si>
  <si>
    <t>MALICKI</t>
  </si>
  <si>
    <t>Jakob Julian</t>
  </si>
  <si>
    <t>FLORIÁN</t>
  </si>
  <si>
    <t>FLORIÁN Lukas</t>
  </si>
  <si>
    <t>DESSEWFFY Gabor</t>
  </si>
  <si>
    <t>DESSEWFFY</t>
  </si>
  <si>
    <t>Gabor</t>
  </si>
  <si>
    <t>ZABLOUDIL</t>
  </si>
  <si>
    <t>Luca</t>
  </si>
  <si>
    <t>ZABLOUDIL Luca</t>
  </si>
  <si>
    <t>CHLUP Sebastian</t>
  </si>
  <si>
    <t>CHLUP</t>
  </si>
  <si>
    <t>Sebastian</t>
  </si>
  <si>
    <t>FREITTER</t>
  </si>
  <si>
    <t>FREITTER Simon</t>
  </si>
  <si>
    <t>WEISKIRCHNER Reinhard</t>
  </si>
  <si>
    <t>WEISKIRCHNER</t>
  </si>
  <si>
    <t>Reinhard</t>
  </si>
  <si>
    <t>STEINMETZ</t>
  </si>
  <si>
    <t>STEINMETZ Christoph</t>
  </si>
  <si>
    <t>HÖRL Moritz</t>
  </si>
  <si>
    <t>HÖRL</t>
  </si>
  <si>
    <t>RAUTER</t>
  </si>
  <si>
    <t>RAUTER Maximilian</t>
  </si>
  <si>
    <t>FLECHL David</t>
  </si>
  <si>
    <t>FLECHL</t>
  </si>
  <si>
    <t>OELSCHLÄGEL</t>
  </si>
  <si>
    <t>OELSCHLÄGEL Paul</t>
  </si>
  <si>
    <t>Beachvolleyclub Wien Amateur 1 Herren</t>
  </si>
  <si>
    <t>Setzung</t>
  </si>
  <si>
    <t>Spieler 1</t>
  </si>
  <si>
    <t>Spieler 2</t>
  </si>
  <si>
    <t>Nenngeld</t>
  </si>
  <si>
    <t>NAME</t>
  </si>
  <si>
    <t>Country</t>
  </si>
  <si>
    <t>Teamname</t>
  </si>
  <si>
    <t>Seed
Main Draw</t>
  </si>
  <si>
    <t>Entry Points 
Team</t>
  </si>
  <si>
    <t>Wild Card 
(ÖVV/Organizer/
Foreign)</t>
  </si>
  <si>
    <t>AUT</t>
  </si>
  <si>
    <t>Seed</t>
  </si>
  <si>
    <t>WC/Q</t>
  </si>
  <si>
    <t>Team</t>
  </si>
  <si>
    <t>Pool A</t>
  </si>
  <si>
    <t>Pool B</t>
  </si>
  <si>
    <t>Pool C</t>
  </si>
  <si>
    <t>Pool D</t>
  </si>
  <si>
    <t>Pool E</t>
  </si>
  <si>
    <t>Pool F</t>
  </si>
  <si>
    <t>Pool G</t>
  </si>
  <si>
    <t>Pool H</t>
  </si>
  <si>
    <t>Match Number</t>
  </si>
  <si>
    <t>Pool</t>
  </si>
  <si>
    <t>Team A</t>
  </si>
  <si>
    <t>Sets</t>
  </si>
  <si>
    <t>Set1</t>
  </si>
  <si>
    <t>Set2</t>
  </si>
  <si>
    <t>Set3</t>
  </si>
  <si>
    <t>Court</t>
  </si>
  <si>
    <t>Referee</t>
  </si>
  <si>
    <t>Date/Time</t>
  </si>
  <si>
    <t>Duration(min)</t>
  </si>
  <si>
    <t>Winner</t>
  </si>
  <si>
    <t>Loser</t>
  </si>
  <si>
    <t>C2</t>
  </si>
  <si>
    <t>Herren</t>
  </si>
  <si>
    <t>C3</t>
  </si>
  <si>
    <t>C4</t>
  </si>
  <si>
    <t>W2</t>
  </si>
  <si>
    <t>w.o.</t>
  </si>
  <si>
    <t>w.o</t>
  </si>
  <si>
    <t>Pos</t>
  </si>
  <si>
    <t>Games won</t>
  </si>
  <si>
    <t>Games lost</t>
  </si>
  <si>
    <t>Sets won</t>
  </si>
  <si>
    <t>Sets lost</t>
  </si>
  <si>
    <t>Sets ratio</t>
  </si>
  <si>
    <t>Points won</t>
  </si>
  <si>
    <t>Points lost</t>
  </si>
  <si>
    <t>Points ratio</t>
  </si>
  <si>
    <t>A</t>
  </si>
  <si>
    <t>B</t>
  </si>
  <si>
    <t>C</t>
  </si>
  <si>
    <t>D</t>
  </si>
  <si>
    <t>E</t>
  </si>
  <si>
    <t>F</t>
  </si>
  <si>
    <t>G</t>
  </si>
  <si>
    <t>H</t>
  </si>
  <si>
    <t>Pool Results</t>
  </si>
  <si>
    <t>Point Ratio</t>
  </si>
  <si>
    <t>Rank</t>
  </si>
  <si>
    <t>Correction Tie</t>
  </si>
  <si>
    <t>Order of Draw</t>
  </si>
  <si>
    <t>goes to</t>
  </si>
  <si>
    <t>Seed #1</t>
  </si>
  <si>
    <t>Match #41</t>
  </si>
  <si>
    <t>Seed #2</t>
  </si>
  <si>
    <t>Match #48</t>
  </si>
  <si>
    <t>Seed #3</t>
  </si>
  <si>
    <t>Match #44</t>
  </si>
  <si>
    <t>Seed #4</t>
  </si>
  <si>
    <t>Match #45</t>
  </si>
  <si>
    <t>Seed #5</t>
  </si>
  <si>
    <t>Match #21</t>
  </si>
  <si>
    <t>Seed #6</t>
  </si>
  <si>
    <t>Match #24</t>
  </si>
  <si>
    <t>Seed #7</t>
  </si>
  <si>
    <t>Match #47</t>
  </si>
  <si>
    <t>Seed #8</t>
  </si>
  <si>
    <t>Match #42</t>
  </si>
  <si>
    <t>Draw 1</t>
  </si>
  <si>
    <t>Match #33</t>
  </si>
  <si>
    <t>Match #34</t>
  </si>
  <si>
    <t>Match #35</t>
  </si>
  <si>
    <t>Match #36</t>
  </si>
  <si>
    <t>Match #37</t>
  </si>
  <si>
    <t>Match #38</t>
  </si>
  <si>
    <t>Match #39</t>
  </si>
  <si>
    <t>Match #40</t>
  </si>
  <si>
    <t>Draw 2</t>
  </si>
  <si>
    <t>ELIM - SHARED 17th</t>
  </si>
  <si>
    <t>Loser ranked 17</t>
  </si>
  <si>
    <t>Loser ranked 9</t>
  </si>
  <si>
    <t>Loser ranked 5</t>
  </si>
  <si>
    <t>Semifinals</t>
  </si>
  <si>
    <t>Bronze</t>
  </si>
  <si>
    <t>C5</t>
  </si>
  <si>
    <t>Gold</t>
  </si>
  <si>
    <t>Looser Ranked 17</t>
  </si>
  <si>
    <t>Loser Ranked 9</t>
  </si>
  <si>
    <t>Loser Ranked 5</t>
  </si>
  <si>
    <t>Rang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</si>
</sst>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:mm"/>
    <numFmt numFmtId="165" formatCode="0.000"/>
  </numFmts>
  <fonts count="20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theme="1"/>
      <name val="Calibri"/>
    </font>
    <font>
      <sz val="10.0"/>
      <color theme="1"/>
      <name val="Arial"/>
    </font>
    <font>
      <color theme="1"/>
      <name val="Arial"/>
    </font>
    <font>
      <b/>
      <sz val="22.0"/>
      <color theme="1"/>
      <name val="Arial"/>
    </font>
    <font/>
    <font>
      <b/>
      <sz val="10.0"/>
      <color theme="1"/>
      <name val="Arial"/>
    </font>
    <font>
      <u/>
      <sz val="11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9.0"/>
      <color theme="1"/>
      <name val="Calibri"/>
    </font>
    <font>
      <sz val="10.0"/>
      <color theme="1"/>
      <name val="Calibri"/>
    </font>
    <font>
      <b/>
      <sz val="7.0"/>
      <color theme="1"/>
      <name val="Arial Narrow"/>
    </font>
    <font>
      <sz val="7.0"/>
      <color theme="1"/>
      <name val="Arial Narrow"/>
    </font>
    <font>
      <b/>
      <sz val="9.0"/>
      <color theme="1"/>
      <name val="Arial"/>
    </font>
    <font>
      <sz val="7.0"/>
      <color theme="1"/>
      <name val="Arial"/>
    </font>
    <font>
      <b/>
      <sz val="8.0"/>
      <color theme="1"/>
      <name val="Arial"/>
    </font>
    <font>
      <sz val="11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DADADA"/>
        <bgColor rgb="FFDADADA"/>
      </patternFill>
    </fill>
    <fill>
      <patternFill patternType="solid">
        <fgColor rgb="FFADB9CA"/>
        <bgColor rgb="FFADB9CA"/>
      </patternFill>
    </fill>
    <fill>
      <patternFill patternType="solid">
        <fgColor rgb="FFFF9900"/>
        <bgColor rgb="FFFF9900"/>
      </patternFill>
    </fill>
  </fills>
  <borders count="25">
    <border/>
    <border>
      <left/>
      <right/>
      <top/>
      <bottom/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1" fillId="2" fontId="3" numFmtId="0" xfId="0" applyAlignment="1" applyBorder="1" applyFill="1" applyFont="1">
      <alignment shrinkToFit="0" vertical="top" wrapText="1"/>
    </xf>
    <xf borderId="0" fillId="0" fontId="4" numFmtId="0" xfId="0" applyFont="1"/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shrinkToFit="0" vertical="bottom" wrapText="0"/>
    </xf>
    <xf borderId="2" fillId="0" fontId="6" numFmtId="0" xfId="0" applyAlignment="1" applyBorder="1" applyFont="1">
      <alignment horizontal="center" readingOrder="0"/>
    </xf>
    <xf borderId="2" fillId="0" fontId="7" numFmtId="0" xfId="0" applyBorder="1" applyFont="1"/>
    <xf borderId="3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5" fillId="0" fontId="7" numFmtId="0" xfId="0" applyBorder="1" applyFont="1"/>
    <xf borderId="6" fillId="0" fontId="8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vertical="center"/>
    </xf>
    <xf borderId="9" fillId="0" fontId="4" numFmtId="0" xfId="0" applyAlignment="1" applyBorder="1" applyFont="1">
      <alignment horizontal="right" vertical="center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vertical="center"/>
    </xf>
    <xf borderId="11" fillId="0" fontId="4" numFmtId="0" xfId="0" applyAlignment="1" applyBorder="1" applyFont="1">
      <alignment horizontal="right" vertical="center"/>
    </xf>
    <xf borderId="12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vertical="center"/>
    </xf>
    <xf borderId="14" fillId="0" fontId="4" numFmtId="0" xfId="0" applyAlignment="1" applyBorder="1" applyFont="1">
      <alignment horizontal="right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1" fillId="3" fontId="2" numFmtId="0" xfId="0" applyBorder="1" applyFill="1" applyFont="1"/>
    <xf borderId="1" fillId="4" fontId="2" numFmtId="0" xfId="0" applyBorder="1" applyFill="1" applyFont="1"/>
    <xf borderId="1" fillId="3" fontId="9" numFmtId="0" xfId="0" applyBorder="1" applyFont="1"/>
    <xf borderId="0" fillId="0" fontId="10" numFmtId="0" xfId="0" applyFont="1"/>
    <xf borderId="0" fillId="0" fontId="2" numFmtId="0" xfId="0" applyFont="1"/>
    <xf borderId="0" fillId="0" fontId="10" numFmtId="0" xfId="0" applyAlignment="1" applyFont="1">
      <alignment readingOrder="0"/>
    </xf>
    <xf borderId="1" fillId="5" fontId="1" numFmtId="0" xfId="0" applyBorder="1" applyFill="1" applyFont="1"/>
    <xf borderId="1" fillId="6" fontId="1" numFmtId="0" xfId="0" applyBorder="1" applyFill="1" applyFont="1"/>
    <xf borderId="1" fillId="4" fontId="1" numFmtId="0" xfId="0" applyBorder="1" applyFont="1"/>
    <xf borderId="1" fillId="7" fontId="1" numFmtId="0" xfId="0" applyBorder="1" applyFill="1" applyFont="1"/>
    <xf borderId="1" fillId="8" fontId="1" numFmtId="0" xfId="0" applyBorder="1" applyFill="1" applyFont="1"/>
    <xf borderId="1" fillId="9" fontId="1" numFmtId="0" xfId="0" applyBorder="1" applyFill="1" applyFont="1"/>
    <xf borderId="1" fillId="10" fontId="1" numFmtId="0" xfId="0" applyBorder="1" applyFill="1" applyFont="1"/>
    <xf borderId="1" fillId="11" fontId="1" numFmtId="0" xfId="0" applyBorder="1" applyFill="1" applyFont="1"/>
    <xf borderId="1" fillId="5" fontId="2" numFmtId="0" xfId="0" applyBorder="1" applyFont="1"/>
    <xf borderId="1" fillId="6" fontId="2" numFmtId="0" xfId="0" applyBorder="1" applyFont="1"/>
    <xf borderId="1" fillId="7" fontId="2" numFmtId="0" xfId="0" applyBorder="1" applyFont="1"/>
    <xf borderId="1" fillId="8" fontId="2" numFmtId="0" xfId="0" applyBorder="1" applyFont="1"/>
    <xf borderId="1" fillId="9" fontId="2" numFmtId="0" xfId="0" applyBorder="1" applyFont="1"/>
    <xf borderId="1" fillId="10" fontId="2" numFmtId="0" xfId="0" applyBorder="1" applyFont="1"/>
    <xf borderId="1" fillId="11" fontId="2" numFmtId="0" xfId="0" applyBorder="1" applyFont="1"/>
    <xf borderId="0" fillId="0" fontId="11" numFmtId="0" xfId="0" applyFont="1"/>
    <xf borderId="1" fillId="5" fontId="12" numFmtId="0" xfId="0" applyBorder="1" applyFont="1"/>
    <xf borderId="15" fillId="12" fontId="12" numFmtId="1" xfId="0" applyBorder="1" applyFill="1" applyFont="1" applyNumberFormat="1"/>
    <xf borderId="15" fillId="12" fontId="12" numFmtId="1" xfId="0" applyAlignment="1" applyBorder="1" applyFont="1" applyNumberFormat="1">
      <alignment readingOrder="0"/>
    </xf>
    <xf borderId="15" fillId="12" fontId="12" numFmtId="164" xfId="0" applyAlignment="1" applyBorder="1" applyFont="1" applyNumberFormat="1">
      <alignment horizontal="right" vertical="bottom"/>
    </xf>
    <xf borderId="15" fillId="12" fontId="12" numFmtId="0" xfId="0" applyBorder="1" applyFont="1"/>
    <xf borderId="0" fillId="0" fontId="12" numFmtId="1" xfId="0" applyFont="1" applyNumberFormat="1"/>
    <xf borderId="0" fillId="0" fontId="11" numFmtId="0" xfId="0" applyAlignment="1" applyFont="1">
      <alignment readingOrder="0"/>
    </xf>
    <xf borderId="15" fillId="12" fontId="12" numFmtId="164" xfId="0" applyAlignment="1" applyBorder="1" applyFont="1" applyNumberFormat="1">
      <alignment vertical="bottom"/>
    </xf>
    <xf borderId="1" fillId="6" fontId="12" numFmtId="0" xfId="0" applyBorder="1" applyFont="1"/>
    <xf borderId="1" fillId="4" fontId="12" numFmtId="0" xfId="0" applyBorder="1" applyFont="1"/>
    <xf borderId="1" fillId="7" fontId="12" numFmtId="0" xfId="0" applyBorder="1" applyFont="1"/>
    <xf borderId="1" fillId="8" fontId="12" numFmtId="0" xfId="0" applyBorder="1" applyFont="1"/>
    <xf borderId="1" fillId="9" fontId="12" numFmtId="0" xfId="0" applyBorder="1" applyFont="1"/>
    <xf borderId="1" fillId="10" fontId="12" numFmtId="0" xfId="0" applyBorder="1" applyFont="1"/>
    <xf borderId="15" fillId="12" fontId="12" numFmtId="0" xfId="0" applyAlignment="1" applyBorder="1" applyFont="1">
      <alignment vertical="bottom"/>
    </xf>
    <xf borderId="1" fillId="11" fontId="12" numFmtId="0" xfId="0" applyBorder="1" applyFont="1"/>
    <xf borderId="15" fillId="12" fontId="12" numFmtId="164" xfId="0" applyAlignment="1" applyBorder="1" applyFont="1" applyNumberFormat="1">
      <alignment readingOrder="0"/>
    </xf>
    <xf borderId="1" fillId="5" fontId="2" numFmtId="165" xfId="0" applyBorder="1" applyFont="1" applyNumberFormat="1"/>
    <xf borderId="1" fillId="5" fontId="2" numFmtId="1" xfId="0" applyBorder="1" applyFont="1" applyNumberFormat="1"/>
    <xf borderId="1" fillId="6" fontId="2" numFmtId="165" xfId="0" applyBorder="1" applyFont="1" applyNumberFormat="1"/>
    <xf borderId="1" fillId="4" fontId="2" numFmtId="165" xfId="0" applyBorder="1" applyFont="1" applyNumberFormat="1"/>
    <xf borderId="1" fillId="7" fontId="2" numFmtId="165" xfId="0" applyBorder="1" applyFont="1" applyNumberFormat="1"/>
    <xf borderId="1" fillId="8" fontId="2" numFmtId="165" xfId="0" applyBorder="1" applyFont="1" applyNumberFormat="1"/>
    <xf borderId="1" fillId="9" fontId="2" numFmtId="165" xfId="0" applyBorder="1" applyFont="1" applyNumberFormat="1"/>
    <xf borderId="0" fillId="0" fontId="2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horizontal="center" vertical="bottom"/>
    </xf>
    <xf borderId="15" fillId="3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16" fillId="0" fontId="2" numFmtId="0" xfId="0" applyAlignment="1" applyBorder="1" applyFont="1">
      <alignment horizontal="center" vertical="bottom"/>
    </xf>
    <xf borderId="17" fillId="0" fontId="2" numFmtId="0" xfId="0" applyAlignment="1" applyBorder="1" applyFont="1">
      <alignment vertical="bottom"/>
    </xf>
    <xf borderId="18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right" vertical="bottom"/>
    </xf>
    <xf borderId="0" fillId="0" fontId="2" numFmtId="0" xfId="0" applyAlignment="1" applyFont="1">
      <alignment readingOrder="0" vertical="bottom"/>
    </xf>
    <xf borderId="15" fillId="3" fontId="2" numFmtId="0" xfId="0" applyAlignment="1" applyBorder="1" applyFont="1">
      <alignment horizontal="right" readingOrder="0" vertical="bottom"/>
    </xf>
    <xf borderId="15" fillId="3" fontId="2" numFmtId="0" xfId="0" applyAlignment="1" applyBorder="1" applyFont="1">
      <alignment horizontal="center" readingOrder="0" vertical="bottom"/>
    </xf>
    <xf borderId="0" fillId="0" fontId="2" numFmtId="0" xfId="0" applyAlignment="1" applyFont="1">
      <alignment horizontal="center" shrinkToFit="0" textRotation="90" vertical="bottom" wrapText="1"/>
    </xf>
    <xf borderId="0" fillId="0" fontId="2" numFmtId="165" xfId="0" applyFont="1" applyNumberFormat="1"/>
    <xf borderId="0" fillId="0" fontId="13" numFmtId="0" xfId="0" applyAlignment="1" applyFont="1">
      <alignment horizontal="center" textRotation="90" vertical="center"/>
    </xf>
    <xf borderId="15" fillId="12" fontId="2" numFmtId="1" xfId="0" applyBorder="1" applyFont="1" applyNumberFormat="1"/>
    <xf borderId="15" fillId="12" fontId="2" numFmtId="1" xfId="0" applyAlignment="1" applyBorder="1" applyFont="1" applyNumberFormat="1">
      <alignment readingOrder="0"/>
    </xf>
    <xf borderId="15" fillId="12" fontId="13" numFmtId="1" xfId="0" applyAlignment="1" applyBorder="1" applyFont="1" applyNumberFormat="1">
      <alignment readingOrder="0"/>
    </xf>
    <xf borderId="15" fillId="12" fontId="2" numFmtId="0" xfId="0" applyBorder="1" applyFont="1"/>
    <xf borderId="15" fillId="12" fontId="13" numFmtId="1" xfId="0" applyBorder="1" applyFont="1" applyNumberFormat="1"/>
    <xf borderId="0" fillId="0" fontId="14" numFmtId="37" xfId="0" applyAlignment="1" applyFont="1" applyNumberForma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right" readingOrder="0" vertical="center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right" vertical="center"/>
    </xf>
    <xf borderId="0" fillId="0" fontId="15" numFmtId="37" xfId="0" applyAlignment="1" applyFont="1" applyNumberForma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5" numFmtId="37" xfId="0" applyAlignment="1" applyFont="1" applyNumberFormat="1">
      <alignment horizontal="left" vertical="center"/>
    </xf>
    <xf borderId="19" fillId="0" fontId="15" numFmtId="0" xfId="0" applyAlignment="1" applyBorder="1" applyFont="1">
      <alignment horizontal="center" vertical="center"/>
    </xf>
    <xf borderId="20" fillId="0" fontId="16" numFmtId="37" xfId="0" applyAlignment="1" applyBorder="1" applyFont="1" applyNumberFormat="1">
      <alignment horizontal="center" vertical="center"/>
    </xf>
    <xf borderId="21" fillId="0" fontId="15" numFmtId="0" xfId="0" applyAlignment="1" applyBorder="1" applyFont="1">
      <alignment horizontal="left" vertical="center"/>
    </xf>
    <xf borderId="16" fillId="0" fontId="15" numFmtId="37" xfId="0" applyAlignment="1" applyBorder="1" applyFont="1" applyNumberFormat="1">
      <alignment horizontal="right" vertical="center"/>
    </xf>
    <xf borderId="22" fillId="0" fontId="15" numFmtId="37" xfId="0" applyAlignment="1" applyBorder="1" applyFont="1" applyNumberFormat="1">
      <alignment horizontal="left" vertical="center"/>
    </xf>
    <xf borderId="16" fillId="0" fontId="15" numFmtId="0" xfId="0" applyAlignment="1" applyBorder="1" applyFont="1">
      <alignment horizontal="right" vertical="center"/>
    </xf>
    <xf borderId="22" fillId="0" fontId="15" numFmtId="37" xfId="0" applyAlignment="1" applyBorder="1" applyFont="1" applyNumberFormat="1">
      <alignment horizontal="right" vertical="center"/>
    </xf>
    <xf borderId="0" fillId="0" fontId="17" numFmtId="37" xfId="0" applyAlignment="1" applyFont="1" applyNumberFormat="1">
      <alignment horizontal="right" vertical="center"/>
    </xf>
    <xf borderId="0" fillId="0" fontId="15" numFmtId="37" xfId="0" applyAlignment="1" applyFont="1" applyNumberFormat="1">
      <alignment horizontal="right" vertical="center"/>
    </xf>
    <xf borderId="22" fillId="0" fontId="15" numFmtId="0" xfId="0" applyAlignment="1" applyBorder="1" applyFont="1">
      <alignment horizontal="left" vertical="center"/>
    </xf>
    <xf borderId="23" fillId="0" fontId="15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16" fillId="0" fontId="2" numFmtId="0" xfId="0" applyBorder="1" applyFont="1"/>
    <xf borderId="21" fillId="0" fontId="15" numFmtId="0" xfId="0" applyAlignment="1" applyBorder="1" applyFont="1">
      <alignment horizontal="right" vertical="center"/>
    </xf>
    <xf borderId="0" fillId="0" fontId="19" numFmtId="0" xfId="0" applyAlignment="1" applyFont="1">
      <alignment horizontal="center" vertical="center"/>
    </xf>
    <xf borderId="0" fillId="0" fontId="17" numFmtId="0" xfId="0" applyAlignment="1" applyFont="1">
      <alignment vertical="center"/>
    </xf>
    <xf borderId="24" fillId="0" fontId="15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8" fillId="0" fontId="15" numFmtId="0" xfId="0" applyAlignment="1" applyBorder="1" applyFont="1">
      <alignment horizontal="right" vertical="center"/>
    </xf>
    <xf borderId="19" fillId="0" fontId="17" numFmtId="37" xfId="0" applyAlignment="1" applyBorder="1" applyFont="1" applyNumberFormat="1">
      <alignment horizontal="right" vertical="center"/>
    </xf>
    <xf borderId="0" fillId="0" fontId="2" numFmtId="1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7CAAC"/>
          <bgColor rgb="FFF7CAA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4686300</xdr:colOff>
      <xdr:row>24</xdr:row>
      <xdr:rowOff>0</xdr:rowOff>
    </xdr:from>
    <xdr:ext cx="638175" cy="10001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78.29"/>
    <col customWidth="1" min="3" max="26" width="11.4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2.0</v>
      </c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75" customHeight="1">
      <c r="A6" s="1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>
        <v>3.0</v>
      </c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>
        <v>4.0</v>
      </c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B12" s="2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1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1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>
        <v>6.0</v>
      </c>
      <c r="B18" s="2" t="s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1" t="s">
        <v>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">
        <v>7.0</v>
      </c>
      <c r="B21" s="2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/>
      <c r="B26" s="3" t="s">
        <v>14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/>
      <c r="B27" s="3" t="s">
        <v>15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3" t="s">
        <v>16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11.43"/>
    <col customWidth="1" min="14" max="26" width="10.71"/>
  </cols>
  <sheetData>
    <row r="1" ht="12.75" customHeight="1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18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4" t="s">
        <v>18</v>
      </c>
      <c r="B4" s="4">
        <v>1.0</v>
      </c>
      <c r="C4" s="5" t="s">
        <v>26</v>
      </c>
      <c r="D4" s="6">
        <v>1.0</v>
      </c>
      <c r="E4" s="5" t="s">
        <v>27</v>
      </c>
      <c r="F4" s="6">
        <v>168.0</v>
      </c>
      <c r="G4" s="6">
        <v>688.0</v>
      </c>
      <c r="H4" s="7"/>
      <c r="I4" s="5" t="s">
        <v>18</v>
      </c>
      <c r="J4" s="5" t="s">
        <v>28</v>
      </c>
      <c r="K4" s="5" t="s">
        <v>29</v>
      </c>
      <c r="L4" s="5" t="s">
        <v>30</v>
      </c>
      <c r="M4" s="5" t="s">
        <v>31</v>
      </c>
      <c r="N4" s="4"/>
      <c r="O4" s="4" t="str">
        <f>IFERROR(__xludf.DUMMYFUNCTION("ARRAYFORMULA(TEXTJOIN("" "", TRUE, FILTER(SPLIT(C4, "" ""), NOT(EXACT(SPLIT(C4, "" ""), UPPER(SPLIT(C4, "" "")))))))"),"Alexander")</f>
        <v>Alexander</v>
      </c>
      <c r="P4" s="4" t="str">
        <f>IFERROR(__xludf.DUMMYFUNCTION("ARRAYFORMULA(TEXTJOIN("" "", TRUE, FILTER(SPLIT(A1, "" ""), EXACT(SPLIT(A1, "" ""), UPPER(SPLIT(A1, "" ""))))))"),"#N/A")</f>
        <v>#N/A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4" t="s">
        <v>18</v>
      </c>
      <c r="B5" s="4"/>
      <c r="C5" s="5" t="s">
        <v>32</v>
      </c>
      <c r="D5" s="6">
        <v>1.0</v>
      </c>
      <c r="E5" s="5" t="s">
        <v>33</v>
      </c>
      <c r="F5" s="6">
        <v>520.0</v>
      </c>
      <c r="G5" s="7"/>
      <c r="H5" s="7"/>
      <c r="I5" s="5" t="s">
        <v>18</v>
      </c>
      <c r="J5" s="5" t="s">
        <v>30</v>
      </c>
      <c r="K5" s="5" t="s">
        <v>31</v>
      </c>
      <c r="L5" s="7"/>
      <c r="M5" s="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4" t="s">
        <v>18</v>
      </c>
      <c r="B6" s="4">
        <v>2.0</v>
      </c>
      <c r="C6" s="5" t="s">
        <v>34</v>
      </c>
      <c r="D6" s="6">
        <v>1.0</v>
      </c>
      <c r="E6" s="5" t="s">
        <v>27</v>
      </c>
      <c r="F6" s="6">
        <v>281.0</v>
      </c>
      <c r="G6" s="6">
        <v>597.0</v>
      </c>
      <c r="H6" s="7"/>
      <c r="I6" s="5" t="s">
        <v>18</v>
      </c>
      <c r="J6" s="5" t="s">
        <v>35</v>
      </c>
      <c r="K6" s="5" t="s">
        <v>36</v>
      </c>
      <c r="L6" s="5" t="s">
        <v>37</v>
      </c>
      <c r="M6" s="5" t="s">
        <v>38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4" t="s">
        <v>18</v>
      </c>
      <c r="B7" s="4"/>
      <c r="C7" s="5" t="s">
        <v>39</v>
      </c>
      <c r="D7" s="6">
        <v>1.0</v>
      </c>
      <c r="E7" s="5" t="s">
        <v>27</v>
      </c>
      <c r="F7" s="6">
        <v>316.0</v>
      </c>
      <c r="G7" s="7"/>
      <c r="H7" s="7"/>
      <c r="I7" s="5" t="s">
        <v>18</v>
      </c>
      <c r="J7" s="5" t="s">
        <v>37</v>
      </c>
      <c r="K7" s="5" t="s">
        <v>38</v>
      </c>
      <c r="L7" s="7"/>
      <c r="M7" s="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4" t="s">
        <v>18</v>
      </c>
      <c r="B8" s="4">
        <v>3.0</v>
      </c>
      <c r="C8" s="5" t="s">
        <v>40</v>
      </c>
      <c r="D8" s="6">
        <v>1.0</v>
      </c>
      <c r="E8" s="5" t="s">
        <v>27</v>
      </c>
      <c r="F8" s="6">
        <v>164.0</v>
      </c>
      <c r="G8" s="6">
        <v>494.0</v>
      </c>
      <c r="H8" s="7"/>
      <c r="I8" s="5" t="s">
        <v>18</v>
      </c>
      <c r="J8" s="5" t="s">
        <v>41</v>
      </c>
      <c r="K8" s="5" t="s">
        <v>42</v>
      </c>
      <c r="L8" s="5" t="s">
        <v>43</v>
      </c>
      <c r="M8" s="5" t="s">
        <v>29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" t="s">
        <v>18</v>
      </c>
      <c r="B9" s="4"/>
      <c r="C9" s="5" t="s">
        <v>44</v>
      </c>
      <c r="D9" s="6">
        <v>1.0</v>
      </c>
      <c r="E9" s="5" t="s">
        <v>27</v>
      </c>
      <c r="F9" s="6">
        <v>330.0</v>
      </c>
      <c r="G9" s="7"/>
      <c r="H9" s="7"/>
      <c r="I9" s="5" t="s">
        <v>18</v>
      </c>
      <c r="J9" s="5" t="s">
        <v>43</v>
      </c>
      <c r="K9" s="5" t="s">
        <v>29</v>
      </c>
      <c r="L9" s="7"/>
      <c r="M9" s="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" t="s">
        <v>18</v>
      </c>
      <c r="B10" s="4">
        <v>4.0</v>
      </c>
      <c r="C10" s="5" t="s">
        <v>45</v>
      </c>
      <c r="D10" s="6">
        <v>1.0</v>
      </c>
      <c r="E10" s="5" t="s">
        <v>46</v>
      </c>
      <c r="F10" s="6">
        <v>215.0</v>
      </c>
      <c r="G10" s="6">
        <v>485.0</v>
      </c>
      <c r="H10" s="7"/>
      <c r="I10" s="5" t="s">
        <v>18</v>
      </c>
      <c r="J10" s="5" t="s">
        <v>47</v>
      </c>
      <c r="K10" s="5" t="s">
        <v>48</v>
      </c>
      <c r="L10" s="5" t="s">
        <v>49</v>
      </c>
      <c r="M10" s="5" t="s">
        <v>50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" t="s">
        <v>18</v>
      </c>
      <c r="B11" s="4"/>
      <c r="C11" s="5" t="s">
        <v>51</v>
      </c>
      <c r="D11" s="6">
        <v>1.0</v>
      </c>
      <c r="E11" s="5" t="s">
        <v>46</v>
      </c>
      <c r="F11" s="6">
        <v>270.0</v>
      </c>
      <c r="G11" s="7"/>
      <c r="H11" s="7"/>
      <c r="I11" s="5" t="s">
        <v>18</v>
      </c>
      <c r="J11" s="5" t="s">
        <v>49</v>
      </c>
      <c r="K11" s="5" t="s">
        <v>50</v>
      </c>
      <c r="L11" s="7"/>
      <c r="M11" s="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" t="s">
        <v>18</v>
      </c>
      <c r="B12" s="4">
        <v>5.0</v>
      </c>
      <c r="C12" s="5" t="s">
        <v>52</v>
      </c>
      <c r="D12" s="6">
        <v>1.0</v>
      </c>
      <c r="E12" s="5" t="s">
        <v>33</v>
      </c>
      <c r="F12" s="6">
        <v>195.0</v>
      </c>
      <c r="G12" s="6">
        <v>478.0</v>
      </c>
      <c r="H12" s="7"/>
      <c r="I12" s="5" t="s">
        <v>18</v>
      </c>
      <c r="J12" s="5" t="s">
        <v>53</v>
      </c>
      <c r="K12" s="5" t="s">
        <v>54</v>
      </c>
      <c r="L12" s="5" t="s">
        <v>55</v>
      </c>
      <c r="M12" s="5" t="s">
        <v>38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" t="s">
        <v>18</v>
      </c>
      <c r="B13" s="4"/>
      <c r="C13" s="5" t="s">
        <v>56</v>
      </c>
      <c r="D13" s="6">
        <v>1.0</v>
      </c>
      <c r="E13" s="5" t="s">
        <v>33</v>
      </c>
      <c r="F13" s="6">
        <v>283.0</v>
      </c>
      <c r="G13" s="7"/>
      <c r="H13" s="7"/>
      <c r="I13" s="5" t="s">
        <v>18</v>
      </c>
      <c r="J13" s="5" t="s">
        <v>55</v>
      </c>
      <c r="K13" s="5" t="s">
        <v>38</v>
      </c>
      <c r="L13" s="7"/>
      <c r="M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 t="s">
        <v>18</v>
      </c>
      <c r="B14" s="4">
        <v>6.0</v>
      </c>
      <c r="C14" s="5" t="s">
        <v>57</v>
      </c>
      <c r="D14" s="6">
        <v>1.0</v>
      </c>
      <c r="E14" s="5" t="s">
        <v>27</v>
      </c>
      <c r="F14" s="6">
        <v>164.0</v>
      </c>
      <c r="G14" s="6">
        <v>469.0</v>
      </c>
      <c r="H14" s="7"/>
      <c r="I14" s="5" t="s">
        <v>18</v>
      </c>
      <c r="J14" s="5" t="s">
        <v>58</v>
      </c>
      <c r="K14" s="5" t="s">
        <v>59</v>
      </c>
      <c r="L14" s="5" t="s">
        <v>60</v>
      </c>
      <c r="M14" s="5" t="s">
        <v>61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" t="s">
        <v>18</v>
      </c>
      <c r="B15" s="4"/>
      <c r="C15" s="5" t="s">
        <v>62</v>
      </c>
      <c r="D15" s="6">
        <v>1.0</v>
      </c>
      <c r="E15" s="5" t="s">
        <v>27</v>
      </c>
      <c r="F15" s="6">
        <v>305.0</v>
      </c>
      <c r="G15" s="7"/>
      <c r="H15" s="7"/>
      <c r="I15" s="5" t="s">
        <v>18</v>
      </c>
      <c r="J15" s="5" t="s">
        <v>60</v>
      </c>
      <c r="K15" s="5" t="s">
        <v>61</v>
      </c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 t="s">
        <v>18</v>
      </c>
      <c r="B16" s="4">
        <v>7.0</v>
      </c>
      <c r="C16" s="5" t="s">
        <v>63</v>
      </c>
      <c r="D16" s="6">
        <v>1.0</v>
      </c>
      <c r="E16" s="5" t="s">
        <v>33</v>
      </c>
      <c r="F16" s="6">
        <v>209.0</v>
      </c>
      <c r="G16" s="6">
        <v>443.0</v>
      </c>
      <c r="H16" s="7"/>
      <c r="I16" s="5" t="s">
        <v>18</v>
      </c>
      <c r="J16" s="5" t="s">
        <v>64</v>
      </c>
      <c r="K16" s="5" t="s">
        <v>65</v>
      </c>
      <c r="L16" s="5" t="s">
        <v>66</v>
      </c>
      <c r="M16" s="5" t="s">
        <v>67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 t="s">
        <v>18</v>
      </c>
      <c r="B17" s="4"/>
      <c r="C17" s="5" t="s">
        <v>68</v>
      </c>
      <c r="D17" s="6">
        <v>1.0</v>
      </c>
      <c r="E17" s="5" t="s">
        <v>27</v>
      </c>
      <c r="F17" s="6">
        <v>234.0</v>
      </c>
      <c r="G17" s="7"/>
      <c r="H17" s="7"/>
      <c r="I17" s="5" t="s">
        <v>18</v>
      </c>
      <c r="J17" s="5" t="s">
        <v>66</v>
      </c>
      <c r="K17" s="5" t="s">
        <v>67</v>
      </c>
      <c r="M17" s="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 t="s">
        <v>18</v>
      </c>
      <c r="B18" s="4">
        <v>8.0</v>
      </c>
      <c r="C18" s="5" t="s">
        <v>69</v>
      </c>
      <c r="D18" s="6">
        <v>1.0</v>
      </c>
      <c r="E18" s="5" t="s">
        <v>70</v>
      </c>
      <c r="F18" s="6">
        <v>181.0</v>
      </c>
      <c r="G18" s="6">
        <v>419.0</v>
      </c>
      <c r="H18" s="7"/>
      <c r="I18" s="5" t="s">
        <v>18</v>
      </c>
      <c r="J18" s="5" t="s">
        <v>71</v>
      </c>
      <c r="K18" s="5" t="s">
        <v>72</v>
      </c>
      <c r="L18" s="5" t="s">
        <v>73</v>
      </c>
      <c r="M18" s="5" t="s">
        <v>29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 t="s">
        <v>18</v>
      </c>
      <c r="B19" s="4"/>
      <c r="C19" s="5" t="s">
        <v>74</v>
      </c>
      <c r="D19" s="6">
        <v>1.0</v>
      </c>
      <c r="E19" s="5" t="s">
        <v>70</v>
      </c>
      <c r="F19" s="6">
        <v>238.0</v>
      </c>
      <c r="G19" s="7"/>
      <c r="H19" s="7"/>
      <c r="I19" s="5" t="s">
        <v>18</v>
      </c>
      <c r="J19" s="5" t="s">
        <v>73</v>
      </c>
      <c r="K19" s="5" t="s">
        <v>29</v>
      </c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 t="s">
        <v>18</v>
      </c>
      <c r="B20" s="4">
        <v>9.0</v>
      </c>
      <c r="C20" s="5" t="s">
        <v>75</v>
      </c>
      <c r="D20" s="6">
        <v>1.0</v>
      </c>
      <c r="E20" s="5" t="s">
        <v>27</v>
      </c>
      <c r="F20" s="6">
        <v>189.0</v>
      </c>
      <c r="G20" s="6">
        <v>419.0</v>
      </c>
      <c r="H20" s="7"/>
      <c r="I20" s="5" t="s">
        <v>18</v>
      </c>
      <c r="J20" s="5" t="s">
        <v>76</v>
      </c>
      <c r="K20" s="5" t="s">
        <v>77</v>
      </c>
      <c r="L20" s="5" t="s">
        <v>78</v>
      </c>
      <c r="M20" s="5" t="s">
        <v>79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 t="s">
        <v>18</v>
      </c>
      <c r="B21" s="4"/>
      <c r="C21" s="5" t="s">
        <v>80</v>
      </c>
      <c r="D21" s="6">
        <v>1.0</v>
      </c>
      <c r="E21" s="5" t="s">
        <v>27</v>
      </c>
      <c r="F21" s="6">
        <v>230.0</v>
      </c>
      <c r="G21" s="7"/>
      <c r="H21" s="7"/>
      <c r="I21" s="5" t="s">
        <v>18</v>
      </c>
      <c r="J21" s="5" t="s">
        <v>78</v>
      </c>
      <c r="K21" s="5" t="s">
        <v>79</v>
      </c>
      <c r="L21" s="7"/>
      <c r="M21" s="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 t="s">
        <v>18</v>
      </c>
      <c r="B22" s="4">
        <v>10.0</v>
      </c>
      <c r="C22" s="5" t="s">
        <v>81</v>
      </c>
      <c r="D22" s="6">
        <v>1.0</v>
      </c>
      <c r="E22" s="5" t="s">
        <v>33</v>
      </c>
      <c r="F22" s="6">
        <v>178.0</v>
      </c>
      <c r="G22" s="6">
        <v>418.0</v>
      </c>
      <c r="H22" s="7"/>
      <c r="I22" s="5" t="s">
        <v>18</v>
      </c>
      <c r="J22" s="5" t="s">
        <v>82</v>
      </c>
      <c r="K22" s="5" t="s">
        <v>83</v>
      </c>
      <c r="L22" s="5" t="s">
        <v>84</v>
      </c>
      <c r="M22" s="5" t="s">
        <v>79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 t="s">
        <v>18</v>
      </c>
      <c r="B23" s="4"/>
      <c r="C23" s="5" t="s">
        <v>85</v>
      </c>
      <c r="D23" s="6">
        <v>1.0</v>
      </c>
      <c r="E23" s="5" t="s">
        <v>27</v>
      </c>
      <c r="F23" s="6">
        <v>240.0</v>
      </c>
      <c r="G23" s="7"/>
      <c r="H23" s="7"/>
      <c r="I23" s="5" t="s">
        <v>18</v>
      </c>
      <c r="J23" s="5" t="s">
        <v>84</v>
      </c>
      <c r="K23" s="5" t="s">
        <v>79</v>
      </c>
      <c r="L23" s="7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 t="s">
        <v>18</v>
      </c>
      <c r="B24" s="4">
        <v>11.0</v>
      </c>
      <c r="C24" s="5" t="s">
        <v>86</v>
      </c>
      <c r="D24" s="6">
        <v>1.0</v>
      </c>
      <c r="E24" s="5" t="s">
        <v>27</v>
      </c>
      <c r="F24" s="6">
        <v>160.0</v>
      </c>
      <c r="G24" s="6">
        <v>414.0</v>
      </c>
      <c r="H24" s="7"/>
      <c r="I24" s="5" t="s">
        <v>18</v>
      </c>
      <c r="J24" s="5" t="s">
        <v>87</v>
      </c>
      <c r="K24" s="5" t="s">
        <v>88</v>
      </c>
      <c r="L24" s="5" t="s">
        <v>89</v>
      </c>
      <c r="M24" s="5" t="s">
        <v>90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 t="s">
        <v>18</v>
      </c>
      <c r="B25" s="4"/>
      <c r="C25" s="5" t="s">
        <v>91</v>
      </c>
      <c r="D25" s="6">
        <v>1.0</v>
      </c>
      <c r="E25" s="5" t="s">
        <v>27</v>
      </c>
      <c r="F25" s="6">
        <v>254.0</v>
      </c>
      <c r="G25" s="7"/>
      <c r="H25" s="7"/>
      <c r="I25" s="5" t="s">
        <v>18</v>
      </c>
      <c r="J25" s="5" t="s">
        <v>89</v>
      </c>
      <c r="K25" s="5" t="s">
        <v>90</v>
      </c>
      <c r="L25" s="7"/>
      <c r="M25" s="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 t="s">
        <v>18</v>
      </c>
      <c r="B26" s="4">
        <v>12.0</v>
      </c>
      <c r="C26" s="5" t="s">
        <v>92</v>
      </c>
      <c r="D26" s="6">
        <v>1.0</v>
      </c>
      <c r="E26" s="5" t="s">
        <v>27</v>
      </c>
      <c r="F26" s="6">
        <v>220.0</v>
      </c>
      <c r="G26" s="6">
        <v>412.0</v>
      </c>
      <c r="H26" s="7"/>
      <c r="I26" s="5" t="s">
        <v>18</v>
      </c>
      <c r="J26" s="5" t="s">
        <v>93</v>
      </c>
      <c r="K26" s="5" t="s">
        <v>94</v>
      </c>
      <c r="L26" s="5" t="s">
        <v>95</v>
      </c>
      <c r="M26" s="5" t="s">
        <v>96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 t="s">
        <v>18</v>
      </c>
      <c r="B27" s="4"/>
      <c r="C27" s="5" t="s">
        <v>97</v>
      </c>
      <c r="D27" s="6">
        <v>1.0</v>
      </c>
      <c r="E27" s="5" t="s">
        <v>98</v>
      </c>
      <c r="F27" s="6">
        <v>192.0</v>
      </c>
      <c r="G27" s="7"/>
      <c r="H27" s="7"/>
      <c r="I27" s="5" t="s">
        <v>18</v>
      </c>
      <c r="J27" s="5" t="s">
        <v>95</v>
      </c>
      <c r="K27" s="5" t="s">
        <v>96</v>
      </c>
      <c r="L27" s="7"/>
      <c r="M27" s="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 t="s">
        <v>18</v>
      </c>
      <c r="B28" s="4">
        <v>13.0</v>
      </c>
      <c r="C28" s="5" t="s">
        <v>99</v>
      </c>
      <c r="D28" s="6">
        <v>1.0</v>
      </c>
      <c r="E28" s="5" t="s">
        <v>27</v>
      </c>
      <c r="F28" s="6">
        <v>84.0</v>
      </c>
      <c r="G28" s="6">
        <v>305.0</v>
      </c>
      <c r="H28" s="7"/>
      <c r="I28" s="5" t="s">
        <v>18</v>
      </c>
      <c r="J28" s="5" t="s">
        <v>100</v>
      </c>
      <c r="K28" s="5" t="s">
        <v>101</v>
      </c>
      <c r="L28" s="5" t="s">
        <v>102</v>
      </c>
      <c r="M28" s="5" t="s">
        <v>103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 t="s">
        <v>18</v>
      </c>
      <c r="B29" s="4"/>
      <c r="C29" s="5" t="s">
        <v>104</v>
      </c>
      <c r="D29" s="6">
        <v>1.0</v>
      </c>
      <c r="E29" s="5" t="s">
        <v>27</v>
      </c>
      <c r="F29" s="6">
        <v>221.0</v>
      </c>
      <c r="G29" s="7"/>
      <c r="H29" s="7"/>
      <c r="I29" s="5" t="s">
        <v>18</v>
      </c>
      <c r="J29" s="5" t="s">
        <v>102</v>
      </c>
      <c r="K29" s="5" t="s">
        <v>103</v>
      </c>
      <c r="L29" s="7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 t="s">
        <v>18</v>
      </c>
      <c r="B30" s="4">
        <v>14.0</v>
      </c>
      <c r="C30" s="5" t="s">
        <v>105</v>
      </c>
      <c r="D30" s="6">
        <v>1.0</v>
      </c>
      <c r="E30" s="5" t="s">
        <v>33</v>
      </c>
      <c r="F30" s="6">
        <v>147.0</v>
      </c>
      <c r="G30" s="6">
        <v>304.0</v>
      </c>
      <c r="H30" s="7"/>
      <c r="I30" s="5" t="s">
        <v>18</v>
      </c>
      <c r="J30" s="5" t="s">
        <v>106</v>
      </c>
      <c r="K30" s="5" t="s">
        <v>107</v>
      </c>
      <c r="L30" s="5" t="s">
        <v>108</v>
      </c>
      <c r="M30" s="5" t="s">
        <v>109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 t="s">
        <v>18</v>
      </c>
      <c r="B31" s="4"/>
      <c r="C31" s="5" t="s">
        <v>110</v>
      </c>
      <c r="D31" s="6">
        <v>1.0</v>
      </c>
      <c r="E31" s="5" t="s">
        <v>27</v>
      </c>
      <c r="F31" s="6">
        <v>157.0</v>
      </c>
      <c r="G31" s="7"/>
      <c r="H31" s="7"/>
      <c r="I31" s="5" t="s">
        <v>18</v>
      </c>
      <c r="J31" s="5" t="s">
        <v>108</v>
      </c>
      <c r="K31" s="5" t="s">
        <v>109</v>
      </c>
      <c r="L31" s="7"/>
      <c r="M31" s="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 t="s">
        <v>18</v>
      </c>
      <c r="B32" s="4">
        <v>15.0</v>
      </c>
      <c r="C32" s="5" t="s">
        <v>111</v>
      </c>
      <c r="D32" s="6">
        <v>1.0</v>
      </c>
      <c r="E32" s="5" t="s">
        <v>33</v>
      </c>
      <c r="F32" s="6">
        <v>114.0</v>
      </c>
      <c r="G32" s="6">
        <v>289.0</v>
      </c>
      <c r="H32" s="7"/>
      <c r="I32" s="5" t="s">
        <v>18</v>
      </c>
      <c r="J32" s="5" t="s">
        <v>112</v>
      </c>
      <c r="K32" s="5" t="s">
        <v>113</v>
      </c>
      <c r="L32" s="5" t="s">
        <v>114</v>
      </c>
      <c r="M32" s="5" t="s">
        <v>115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 t="s">
        <v>18</v>
      </c>
      <c r="B33" s="4"/>
      <c r="C33" s="5" t="s">
        <v>116</v>
      </c>
      <c r="D33" s="6">
        <v>1.0</v>
      </c>
      <c r="E33" s="5" t="s">
        <v>33</v>
      </c>
      <c r="F33" s="6">
        <v>175.0</v>
      </c>
      <c r="G33" s="7"/>
      <c r="H33" s="7"/>
      <c r="I33" s="5" t="s">
        <v>18</v>
      </c>
      <c r="J33" s="5" t="s">
        <v>114</v>
      </c>
      <c r="K33" s="5" t="s">
        <v>115</v>
      </c>
      <c r="L33" s="7"/>
      <c r="M33" s="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 t="s">
        <v>18</v>
      </c>
      <c r="B34" s="4">
        <v>16.0</v>
      </c>
      <c r="C34" s="5" t="s">
        <v>117</v>
      </c>
      <c r="D34" s="6">
        <v>1.0</v>
      </c>
      <c r="E34" s="5" t="s">
        <v>27</v>
      </c>
      <c r="F34" s="6">
        <v>98.0</v>
      </c>
      <c r="G34" s="6">
        <v>283.0</v>
      </c>
      <c r="H34" s="7"/>
      <c r="I34" s="5" t="s">
        <v>18</v>
      </c>
      <c r="J34" s="5" t="s">
        <v>118</v>
      </c>
      <c r="K34" s="5" t="s">
        <v>119</v>
      </c>
      <c r="L34" s="5" t="s">
        <v>120</v>
      </c>
      <c r="M34" s="5" t="s">
        <v>115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 t="s">
        <v>18</v>
      </c>
      <c r="B35" s="4"/>
      <c r="C35" s="5" t="s">
        <v>121</v>
      </c>
      <c r="D35" s="6">
        <v>1.0</v>
      </c>
      <c r="E35" s="5" t="s">
        <v>122</v>
      </c>
      <c r="F35" s="6">
        <v>185.0</v>
      </c>
      <c r="G35" s="7"/>
      <c r="H35" s="7"/>
      <c r="I35" s="5" t="s">
        <v>18</v>
      </c>
      <c r="J35" s="5" t="s">
        <v>120</v>
      </c>
      <c r="K35" s="5" t="s">
        <v>115</v>
      </c>
      <c r="L35" s="7"/>
      <c r="M35" s="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 t="s">
        <v>18</v>
      </c>
      <c r="B36" s="4">
        <v>17.0</v>
      </c>
      <c r="C36" s="5" t="s">
        <v>123</v>
      </c>
      <c r="D36" s="6">
        <v>1.0</v>
      </c>
      <c r="E36" s="5" t="s">
        <v>27</v>
      </c>
      <c r="F36" s="6">
        <v>101.0</v>
      </c>
      <c r="G36" s="6">
        <v>282.0</v>
      </c>
      <c r="H36" s="7"/>
      <c r="I36" s="5" t="s">
        <v>18</v>
      </c>
      <c r="J36" s="5" t="s">
        <v>124</v>
      </c>
      <c r="K36" s="5" t="s">
        <v>125</v>
      </c>
      <c r="L36" s="5" t="s">
        <v>126</v>
      </c>
      <c r="M36" s="5" t="s">
        <v>119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 t="s">
        <v>18</v>
      </c>
      <c r="B37" s="4"/>
      <c r="C37" s="5" t="s">
        <v>127</v>
      </c>
      <c r="D37" s="6">
        <v>1.0</v>
      </c>
      <c r="E37" s="5" t="s">
        <v>27</v>
      </c>
      <c r="F37" s="6">
        <v>181.0</v>
      </c>
      <c r="G37" s="7"/>
      <c r="H37" s="7"/>
      <c r="I37" s="5" t="s">
        <v>18</v>
      </c>
      <c r="J37" s="5" t="s">
        <v>126</v>
      </c>
      <c r="K37" s="5" t="s">
        <v>119</v>
      </c>
      <c r="L37" s="7"/>
      <c r="M37" s="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 t="s">
        <v>18</v>
      </c>
      <c r="B38" s="4">
        <v>18.0</v>
      </c>
      <c r="C38" s="5" t="s">
        <v>128</v>
      </c>
      <c r="D38" s="6">
        <v>1.0</v>
      </c>
      <c r="E38" s="5" t="s">
        <v>27</v>
      </c>
      <c r="F38" s="6">
        <v>70.0</v>
      </c>
      <c r="G38" s="6">
        <v>243.0</v>
      </c>
      <c r="H38" s="7"/>
      <c r="I38" s="5" t="s">
        <v>18</v>
      </c>
      <c r="J38" s="5" t="s">
        <v>129</v>
      </c>
      <c r="K38" s="5" t="s">
        <v>130</v>
      </c>
      <c r="L38" s="5" t="s">
        <v>131</v>
      </c>
      <c r="M38" s="5" t="s">
        <v>38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 t="s">
        <v>18</v>
      </c>
      <c r="B39" s="4"/>
      <c r="C39" s="5" t="s">
        <v>132</v>
      </c>
      <c r="D39" s="6">
        <v>1.0</v>
      </c>
      <c r="E39" s="5" t="s">
        <v>27</v>
      </c>
      <c r="F39" s="6">
        <v>173.0</v>
      </c>
      <c r="G39" s="7"/>
      <c r="H39" s="7"/>
      <c r="I39" s="7"/>
      <c r="J39" s="5" t="s">
        <v>131</v>
      </c>
      <c r="K39" s="5" t="s">
        <v>38</v>
      </c>
      <c r="L39" s="7"/>
      <c r="M39" s="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 t="s">
        <v>18</v>
      </c>
      <c r="B40" s="4">
        <v>19.0</v>
      </c>
      <c r="C40" s="5" t="s">
        <v>133</v>
      </c>
      <c r="D40" s="6">
        <v>1.0</v>
      </c>
      <c r="E40" s="5" t="s">
        <v>33</v>
      </c>
      <c r="F40" s="6">
        <v>106.0</v>
      </c>
      <c r="G40" s="6">
        <v>193.0</v>
      </c>
      <c r="H40" s="7"/>
      <c r="I40" s="5" t="s">
        <v>18</v>
      </c>
      <c r="J40" s="5" t="s">
        <v>134</v>
      </c>
      <c r="K40" s="5" t="s">
        <v>135</v>
      </c>
      <c r="L40" s="5" t="s">
        <v>136</v>
      </c>
      <c r="M40" s="5" t="s">
        <v>48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 t="s">
        <v>18</v>
      </c>
      <c r="B41" s="4"/>
      <c r="C41" s="5" t="s">
        <v>137</v>
      </c>
      <c r="D41" s="6">
        <v>1.0</v>
      </c>
      <c r="E41" s="5" t="s">
        <v>33</v>
      </c>
      <c r="F41" s="6">
        <v>87.0</v>
      </c>
      <c r="G41" s="7"/>
      <c r="H41" s="7"/>
      <c r="I41" s="5" t="s">
        <v>18</v>
      </c>
      <c r="J41" s="5" t="s">
        <v>136</v>
      </c>
      <c r="K41" s="5" t="s">
        <v>48</v>
      </c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 t="s">
        <v>18</v>
      </c>
      <c r="B42" s="4">
        <v>20.0</v>
      </c>
      <c r="C42" s="5" t="s">
        <v>138</v>
      </c>
      <c r="D42" s="6">
        <v>1.0</v>
      </c>
      <c r="E42" s="5" t="s">
        <v>70</v>
      </c>
      <c r="F42" s="6">
        <v>0.0</v>
      </c>
      <c r="G42" s="6">
        <v>183.0</v>
      </c>
      <c r="H42" s="7"/>
      <c r="I42" s="5" t="s">
        <v>18</v>
      </c>
      <c r="J42" s="5" t="s">
        <v>139</v>
      </c>
      <c r="K42" s="5" t="s">
        <v>140</v>
      </c>
      <c r="L42" s="5" t="s">
        <v>141</v>
      </c>
      <c r="M42" s="5" t="s">
        <v>142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 t="s">
        <v>18</v>
      </c>
      <c r="B43" s="4"/>
      <c r="C43" s="5" t="s">
        <v>143</v>
      </c>
      <c r="D43" s="6">
        <v>1.0</v>
      </c>
      <c r="E43" s="5" t="s">
        <v>70</v>
      </c>
      <c r="F43" s="6">
        <v>183.0</v>
      </c>
      <c r="G43" s="7"/>
      <c r="H43" s="7"/>
      <c r="I43" s="5" t="s">
        <v>18</v>
      </c>
      <c r="J43" s="5" t="s">
        <v>141</v>
      </c>
      <c r="K43" s="5" t="s">
        <v>142</v>
      </c>
      <c r="L43" s="7"/>
      <c r="M43" s="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 t="s">
        <v>18</v>
      </c>
      <c r="B44" s="4">
        <v>21.0</v>
      </c>
      <c r="C44" s="5" t="s">
        <v>144</v>
      </c>
      <c r="D44" s="6">
        <v>1.0</v>
      </c>
      <c r="E44" s="5" t="s">
        <v>27</v>
      </c>
      <c r="F44" s="6">
        <v>108.0</v>
      </c>
      <c r="G44" s="6">
        <v>180.0</v>
      </c>
      <c r="H44" s="7"/>
      <c r="I44" s="5" t="s">
        <v>18</v>
      </c>
      <c r="J44" s="5" t="s">
        <v>145</v>
      </c>
      <c r="K44" s="5" t="s">
        <v>146</v>
      </c>
      <c r="L44" s="5" t="s">
        <v>147</v>
      </c>
      <c r="M44" s="5" t="s">
        <v>148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 t="s">
        <v>18</v>
      </c>
      <c r="B45" s="4"/>
      <c r="C45" s="5" t="s">
        <v>149</v>
      </c>
      <c r="D45" s="6">
        <v>1.0</v>
      </c>
      <c r="E45" s="5" t="s">
        <v>27</v>
      </c>
      <c r="F45" s="6">
        <v>72.0</v>
      </c>
      <c r="G45" s="7"/>
      <c r="H45" s="7"/>
      <c r="I45" s="5" t="s">
        <v>18</v>
      </c>
      <c r="J45" s="5" t="s">
        <v>147</v>
      </c>
      <c r="K45" s="5" t="s">
        <v>148</v>
      </c>
      <c r="L45" s="7"/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 t="s">
        <v>18</v>
      </c>
      <c r="B46" s="4">
        <v>22.0</v>
      </c>
      <c r="C46" s="5" t="s">
        <v>150</v>
      </c>
      <c r="D46" s="6">
        <v>1.0</v>
      </c>
      <c r="E46" s="5" t="s">
        <v>27</v>
      </c>
      <c r="F46" s="6">
        <v>77.0</v>
      </c>
      <c r="G46" s="6">
        <v>177.0</v>
      </c>
      <c r="H46" s="7"/>
      <c r="I46" s="5" t="s">
        <v>18</v>
      </c>
      <c r="J46" s="5" t="s">
        <v>151</v>
      </c>
      <c r="K46" s="5" t="s">
        <v>96</v>
      </c>
      <c r="L46" s="5" t="s">
        <v>152</v>
      </c>
      <c r="M46" s="5" t="s">
        <v>29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 t="s">
        <v>18</v>
      </c>
      <c r="B47" s="4"/>
      <c r="C47" s="5" t="s">
        <v>153</v>
      </c>
      <c r="D47" s="6">
        <v>1.0</v>
      </c>
      <c r="E47" s="5" t="s">
        <v>27</v>
      </c>
      <c r="F47" s="6">
        <v>100.0</v>
      </c>
      <c r="G47" s="7"/>
      <c r="H47" s="7"/>
      <c r="I47" s="5" t="s">
        <v>18</v>
      </c>
      <c r="J47" s="5" t="s">
        <v>152</v>
      </c>
      <c r="K47" s="5" t="s">
        <v>29</v>
      </c>
      <c r="L47" s="7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 t="s">
        <v>18</v>
      </c>
      <c r="B48" s="4">
        <v>23.0</v>
      </c>
      <c r="C48" s="5" t="s">
        <v>154</v>
      </c>
      <c r="D48" s="6">
        <v>1.0</v>
      </c>
      <c r="E48" s="5" t="s">
        <v>27</v>
      </c>
      <c r="F48" s="6">
        <v>53.0</v>
      </c>
      <c r="G48" s="6">
        <v>176.0</v>
      </c>
      <c r="H48" s="7"/>
      <c r="I48" s="5" t="s">
        <v>18</v>
      </c>
      <c r="J48" s="5" t="s">
        <v>155</v>
      </c>
      <c r="K48" s="5" t="s">
        <v>156</v>
      </c>
      <c r="L48" s="5" t="s">
        <v>157</v>
      </c>
      <c r="M48" s="5" t="s">
        <v>158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 t="s">
        <v>18</v>
      </c>
      <c r="B49" s="4"/>
      <c r="C49" s="5" t="s">
        <v>159</v>
      </c>
      <c r="D49" s="6">
        <v>1.0</v>
      </c>
      <c r="E49" s="5" t="s">
        <v>27</v>
      </c>
      <c r="F49" s="6">
        <v>123.0</v>
      </c>
      <c r="G49" s="7"/>
      <c r="H49" s="7"/>
      <c r="I49" s="5" t="s">
        <v>18</v>
      </c>
      <c r="J49" s="5" t="s">
        <v>157</v>
      </c>
      <c r="K49" s="5" t="s">
        <v>158</v>
      </c>
      <c r="L49" s="7"/>
      <c r="M49" s="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 t="s">
        <v>18</v>
      </c>
      <c r="B50" s="4">
        <v>24.0</v>
      </c>
      <c r="C50" s="5" t="s">
        <v>160</v>
      </c>
      <c r="D50" s="6">
        <v>1.0</v>
      </c>
      <c r="E50" s="5" t="s">
        <v>161</v>
      </c>
      <c r="F50" s="6">
        <v>77.0</v>
      </c>
      <c r="G50" s="6">
        <v>149.0</v>
      </c>
      <c r="H50" s="7"/>
      <c r="I50" s="5" t="s">
        <v>18</v>
      </c>
      <c r="J50" s="5" t="s">
        <v>162</v>
      </c>
      <c r="K50" s="5" t="s">
        <v>163</v>
      </c>
      <c r="L50" s="5" t="s">
        <v>164</v>
      </c>
      <c r="M50" s="5" t="s">
        <v>165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 t="s">
        <v>18</v>
      </c>
      <c r="B51" s="4"/>
      <c r="C51" s="5" t="s">
        <v>166</v>
      </c>
      <c r="D51" s="6">
        <v>1.0</v>
      </c>
      <c r="E51" s="5" t="s">
        <v>161</v>
      </c>
      <c r="F51" s="6">
        <v>72.0</v>
      </c>
      <c r="G51" s="7"/>
      <c r="H51" s="7"/>
      <c r="I51" s="5" t="s">
        <v>18</v>
      </c>
      <c r="J51" s="5" t="s">
        <v>164</v>
      </c>
      <c r="K51" s="5" t="s">
        <v>165</v>
      </c>
      <c r="L51" s="7"/>
      <c r="M51" s="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 t="s">
        <v>18</v>
      </c>
      <c r="B52" s="4">
        <v>25.0</v>
      </c>
      <c r="C52" s="5" t="s">
        <v>167</v>
      </c>
      <c r="D52" s="6">
        <v>1.0</v>
      </c>
      <c r="E52" s="5" t="s">
        <v>27</v>
      </c>
      <c r="F52" s="6">
        <v>106.0</v>
      </c>
      <c r="G52" s="6">
        <v>136.0</v>
      </c>
      <c r="H52" s="7"/>
      <c r="I52" s="5" t="s">
        <v>18</v>
      </c>
      <c r="J52" s="5" t="s">
        <v>168</v>
      </c>
      <c r="K52" s="5" t="s">
        <v>169</v>
      </c>
      <c r="L52" s="5" t="s">
        <v>170</v>
      </c>
      <c r="M52" s="5" t="s">
        <v>171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 t="s">
        <v>18</v>
      </c>
      <c r="B53" s="4"/>
      <c r="C53" s="5" t="s">
        <v>172</v>
      </c>
      <c r="D53" s="6">
        <v>1.0</v>
      </c>
      <c r="E53" s="5" t="s">
        <v>27</v>
      </c>
      <c r="F53" s="6">
        <v>30.0</v>
      </c>
      <c r="G53" s="7"/>
      <c r="H53" s="7"/>
      <c r="I53" s="5" t="s">
        <v>18</v>
      </c>
      <c r="J53" s="5" t="s">
        <v>170</v>
      </c>
      <c r="K53" s="5" t="s">
        <v>171</v>
      </c>
      <c r="L53" s="7"/>
      <c r="M53" s="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 t="s">
        <v>18</v>
      </c>
      <c r="B54" s="4">
        <v>26.0</v>
      </c>
      <c r="C54" s="5" t="s">
        <v>173</v>
      </c>
      <c r="D54" s="6">
        <v>1.0</v>
      </c>
      <c r="E54" s="5" t="s">
        <v>27</v>
      </c>
      <c r="F54" s="6">
        <v>58.0</v>
      </c>
      <c r="G54" s="6">
        <v>114.0</v>
      </c>
      <c r="H54" s="7"/>
      <c r="I54" s="5" t="s">
        <v>18</v>
      </c>
      <c r="J54" s="5" t="s">
        <v>174</v>
      </c>
      <c r="K54" s="5" t="s">
        <v>175</v>
      </c>
      <c r="L54" s="5" t="s">
        <v>176</v>
      </c>
      <c r="M54" s="5" t="s">
        <v>177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 t="s">
        <v>18</v>
      </c>
      <c r="B55" s="4"/>
      <c r="C55" s="5" t="s">
        <v>178</v>
      </c>
      <c r="D55" s="6">
        <v>1.0</v>
      </c>
      <c r="E55" s="5" t="s">
        <v>27</v>
      </c>
      <c r="F55" s="6">
        <v>56.0</v>
      </c>
      <c r="G55" s="7"/>
      <c r="H55" s="7"/>
      <c r="I55" s="7"/>
      <c r="J55" s="5" t="s">
        <v>176</v>
      </c>
      <c r="K55" s="5" t="s">
        <v>177</v>
      </c>
      <c r="L55" s="7"/>
      <c r="M55" s="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 t="s">
        <v>18</v>
      </c>
      <c r="B56" s="4">
        <v>27.0</v>
      </c>
      <c r="C56" s="5" t="s">
        <v>179</v>
      </c>
      <c r="D56" s="6">
        <v>1.0</v>
      </c>
      <c r="E56" s="5" t="s">
        <v>27</v>
      </c>
      <c r="F56" s="6">
        <v>34.0</v>
      </c>
      <c r="G56" s="6">
        <v>113.0</v>
      </c>
      <c r="H56" s="7"/>
      <c r="I56" s="5" t="s">
        <v>18</v>
      </c>
      <c r="J56" s="5" t="s">
        <v>180</v>
      </c>
      <c r="K56" s="5" t="s">
        <v>181</v>
      </c>
      <c r="L56" s="5" t="s">
        <v>182</v>
      </c>
      <c r="M56" s="5" t="s">
        <v>72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 t="s">
        <v>18</v>
      </c>
      <c r="B57" s="4"/>
      <c r="C57" s="5" t="s">
        <v>183</v>
      </c>
      <c r="D57" s="6">
        <v>1.0</v>
      </c>
      <c r="E57" s="5" t="s">
        <v>27</v>
      </c>
      <c r="F57" s="6">
        <v>79.0</v>
      </c>
      <c r="G57" s="7"/>
      <c r="H57" s="7"/>
      <c r="I57" s="7"/>
      <c r="J57" s="5" t="s">
        <v>182</v>
      </c>
      <c r="K57" s="5" t="s">
        <v>72</v>
      </c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 t="s">
        <v>18</v>
      </c>
      <c r="B58" s="4">
        <v>28.0</v>
      </c>
      <c r="C58" s="5" t="s">
        <v>184</v>
      </c>
      <c r="D58" s="6">
        <v>1.0</v>
      </c>
      <c r="E58" s="5" t="s">
        <v>27</v>
      </c>
      <c r="F58" s="6">
        <v>66.0</v>
      </c>
      <c r="G58" s="6">
        <v>110.0</v>
      </c>
      <c r="H58" s="7"/>
      <c r="I58" s="5" t="s">
        <v>18</v>
      </c>
      <c r="J58" s="5" t="s">
        <v>185</v>
      </c>
      <c r="K58" s="5" t="s">
        <v>186</v>
      </c>
      <c r="L58" s="5" t="s">
        <v>187</v>
      </c>
      <c r="M58" s="5" t="s">
        <v>188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 t="s">
        <v>18</v>
      </c>
      <c r="B59" s="4"/>
      <c r="C59" s="5" t="s">
        <v>189</v>
      </c>
      <c r="D59" s="6">
        <v>1.0</v>
      </c>
      <c r="E59" s="5" t="s">
        <v>27</v>
      </c>
      <c r="F59" s="6">
        <v>44.0</v>
      </c>
      <c r="G59" s="7"/>
      <c r="H59" s="7"/>
      <c r="I59" s="7"/>
      <c r="J59" s="5" t="s">
        <v>187</v>
      </c>
      <c r="K59" s="5" t="s">
        <v>188</v>
      </c>
      <c r="L59" s="7"/>
      <c r="M59" s="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 t="s">
        <v>18</v>
      </c>
      <c r="B60" s="4">
        <v>29.0</v>
      </c>
      <c r="C60" s="5" t="s">
        <v>190</v>
      </c>
      <c r="D60" s="6">
        <v>1.0</v>
      </c>
      <c r="E60" s="5" t="s">
        <v>27</v>
      </c>
      <c r="F60" s="6">
        <v>66.0</v>
      </c>
      <c r="G60" s="6">
        <v>81.0</v>
      </c>
      <c r="H60" s="7"/>
      <c r="I60" s="5" t="s">
        <v>18</v>
      </c>
      <c r="J60" s="5" t="s">
        <v>191</v>
      </c>
      <c r="K60" s="5" t="s">
        <v>192</v>
      </c>
      <c r="L60" s="5" t="s">
        <v>193</v>
      </c>
      <c r="M60" s="5" t="s">
        <v>77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 t="s">
        <v>18</v>
      </c>
      <c r="B61" s="4"/>
      <c r="C61" s="5" t="s">
        <v>194</v>
      </c>
      <c r="D61" s="6">
        <v>1.0</v>
      </c>
      <c r="E61" s="5" t="s">
        <v>27</v>
      </c>
      <c r="F61" s="6">
        <v>15.0</v>
      </c>
      <c r="G61" s="7"/>
      <c r="H61" s="7"/>
      <c r="I61" s="7"/>
      <c r="J61" s="5" t="s">
        <v>193</v>
      </c>
      <c r="K61" s="5" t="s">
        <v>77</v>
      </c>
      <c r="L61" s="7"/>
      <c r="M61" s="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 t="s">
        <v>18</v>
      </c>
      <c r="B62" s="4">
        <v>30.0</v>
      </c>
      <c r="C62" s="5" t="s">
        <v>195</v>
      </c>
      <c r="D62" s="6">
        <v>1.0</v>
      </c>
      <c r="E62" s="5" t="s">
        <v>33</v>
      </c>
      <c r="F62" s="6">
        <v>38.0</v>
      </c>
      <c r="G62" s="6">
        <v>62.0</v>
      </c>
      <c r="H62" s="7"/>
      <c r="I62" s="5" t="s">
        <v>18</v>
      </c>
      <c r="J62" s="5" t="s">
        <v>196</v>
      </c>
      <c r="K62" s="5" t="s">
        <v>197</v>
      </c>
      <c r="L62" s="5" t="s">
        <v>198</v>
      </c>
      <c r="M62" s="5" t="s">
        <v>36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 t="s">
        <v>18</v>
      </c>
      <c r="B63" s="4"/>
      <c r="C63" s="5" t="s">
        <v>199</v>
      </c>
      <c r="D63" s="6">
        <v>1.0</v>
      </c>
      <c r="E63" s="5" t="s">
        <v>27</v>
      </c>
      <c r="F63" s="6">
        <v>24.0</v>
      </c>
      <c r="G63" s="7"/>
      <c r="H63" s="7"/>
      <c r="I63" s="7"/>
      <c r="J63" s="5" t="s">
        <v>198</v>
      </c>
      <c r="K63" s="5" t="s">
        <v>36</v>
      </c>
      <c r="L63" s="7"/>
      <c r="M63" s="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 t="s">
        <v>18</v>
      </c>
      <c r="B64" s="4">
        <v>31.0</v>
      </c>
      <c r="C64" s="5" t="s">
        <v>200</v>
      </c>
      <c r="D64" s="6">
        <v>1.0</v>
      </c>
      <c r="E64" s="5" t="s">
        <v>161</v>
      </c>
      <c r="F64" s="6">
        <v>38.0</v>
      </c>
      <c r="G64" s="6">
        <v>55.0</v>
      </c>
      <c r="H64" s="7"/>
      <c r="I64" s="5" t="s">
        <v>18</v>
      </c>
      <c r="J64" s="5" t="s">
        <v>201</v>
      </c>
      <c r="K64" s="5" t="s">
        <v>156</v>
      </c>
      <c r="L64" s="5" t="s">
        <v>202</v>
      </c>
      <c r="M64" s="5" t="s">
        <v>125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 t="s">
        <v>18</v>
      </c>
      <c r="B65" s="4"/>
      <c r="C65" s="5" t="s">
        <v>203</v>
      </c>
      <c r="D65" s="6">
        <v>1.0</v>
      </c>
      <c r="E65" s="5" t="s">
        <v>27</v>
      </c>
      <c r="F65" s="6">
        <v>17.0</v>
      </c>
      <c r="G65" s="7"/>
      <c r="H65" s="7"/>
      <c r="I65" s="7"/>
      <c r="J65" s="5" t="s">
        <v>202</v>
      </c>
      <c r="K65" s="5" t="s">
        <v>125</v>
      </c>
      <c r="L65" s="7"/>
      <c r="M65" s="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 t="s">
        <v>18</v>
      </c>
      <c r="B66" s="4">
        <v>32.0</v>
      </c>
      <c r="C66" s="5" t="s">
        <v>204</v>
      </c>
      <c r="D66" s="6">
        <v>1.0</v>
      </c>
      <c r="E66" s="5" t="s">
        <v>33</v>
      </c>
      <c r="F66" s="6">
        <v>0.0</v>
      </c>
      <c r="G66" s="6">
        <v>0.0</v>
      </c>
      <c r="H66" s="7"/>
      <c r="I66" s="5" t="s">
        <v>18</v>
      </c>
      <c r="J66" s="5" t="s">
        <v>205</v>
      </c>
      <c r="K66" s="5" t="s">
        <v>96</v>
      </c>
      <c r="L66" s="5" t="s">
        <v>206</v>
      </c>
      <c r="M66" s="5" t="s">
        <v>65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 t="s">
        <v>18</v>
      </c>
      <c r="B67" s="4"/>
      <c r="C67" s="5" t="s">
        <v>207</v>
      </c>
      <c r="D67" s="6">
        <v>1.0</v>
      </c>
      <c r="E67" s="5" t="s">
        <v>33</v>
      </c>
      <c r="F67" s="6">
        <v>0.0</v>
      </c>
      <c r="G67" s="7"/>
      <c r="H67" s="7"/>
      <c r="I67" s="7"/>
      <c r="J67" s="5" t="s">
        <v>206</v>
      </c>
      <c r="K67" s="5" t="s">
        <v>65</v>
      </c>
      <c r="L67" s="7"/>
      <c r="M67" s="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K17:L17"/>
  </mergeCells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3" width="40.71"/>
    <col customWidth="1" min="4" max="4" width="15.71"/>
    <col customWidth="1" min="5" max="5" width="10.71"/>
    <col customWidth="1" min="6" max="7" width="40.71"/>
    <col customWidth="1" min="8" max="8" width="15.71"/>
    <col customWidth="1" min="9" max="26" width="11.43"/>
  </cols>
  <sheetData>
    <row r="1" ht="27.0" customHeight="1">
      <c r="A1" s="8" t="s">
        <v>208</v>
      </c>
      <c r="B1" s="9"/>
      <c r="C1" s="9"/>
      <c r="D1" s="9"/>
      <c r="E1" s="8" t="s">
        <v>208</v>
      </c>
      <c r="F1" s="9"/>
      <c r="G1" s="9"/>
      <c r="H1" s="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7.0" customHeight="1">
      <c r="A2" s="10" t="s">
        <v>209</v>
      </c>
      <c r="B2" s="11" t="s">
        <v>210</v>
      </c>
      <c r="C2" s="11" t="s">
        <v>211</v>
      </c>
      <c r="D2" s="12" t="s">
        <v>212</v>
      </c>
      <c r="E2" s="10" t="s">
        <v>209</v>
      </c>
      <c r="F2" s="11" t="s">
        <v>210</v>
      </c>
      <c r="G2" s="11" t="s">
        <v>211</v>
      </c>
      <c r="H2" s="12" t="s">
        <v>23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13"/>
      <c r="B3" s="14" t="s">
        <v>213</v>
      </c>
      <c r="C3" s="14" t="s">
        <v>213</v>
      </c>
      <c r="D3" s="13"/>
      <c r="E3" s="13"/>
      <c r="F3" s="14" t="s">
        <v>213</v>
      </c>
      <c r="G3" s="14" t="s">
        <v>213</v>
      </c>
      <c r="H3" s="1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0" customHeight="1">
      <c r="A4" s="15">
        <v>1.0</v>
      </c>
      <c r="B4" s="16" t="str">
        <f>Data!$C4</f>
        <v>CSEKÖ Alexander</v>
      </c>
      <c r="C4" s="16" t="str">
        <f>Data!$C5</f>
        <v>TRAUTH Raphael</v>
      </c>
      <c r="D4" s="17"/>
      <c r="E4" s="15">
        <v>1.0</v>
      </c>
      <c r="F4" s="16" t="str">
        <f>Data!$C4</f>
        <v>CSEKÖ Alexander</v>
      </c>
      <c r="G4" s="16" t="str">
        <f>Data!$C5</f>
        <v>TRAUTH Raphael</v>
      </c>
      <c r="H4" s="18">
        <f t="array" ref="H4">IF(G4&lt;&gt;"",INDEX(Data!$G$4:$G$67,((ROW()-3)*2)-1,1),"")</f>
        <v>688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7.0" customHeight="1">
      <c r="A5" s="19">
        <v>2.0</v>
      </c>
      <c r="B5" s="16" t="str">
        <f>Data!$C6</f>
        <v>FÜHRER Christoph</v>
      </c>
      <c r="C5" s="16" t="str">
        <f>Data!$C7</f>
        <v>SEISER Michael</v>
      </c>
      <c r="D5" s="20"/>
      <c r="E5" s="19">
        <v>2.0</v>
      </c>
      <c r="F5" s="16" t="str">
        <f>Data!$C6</f>
        <v>FÜHRER Christoph</v>
      </c>
      <c r="G5" s="16" t="str">
        <f>Data!$C7</f>
        <v>SEISER Michael</v>
      </c>
      <c r="H5" s="18">
        <f t="array" ref="H5">IF(G5&lt;&gt;"",INDEX(Data!$G$4:$G$67,((ROW()-3)*2)-1,1),"")</f>
        <v>597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0" customHeight="1">
      <c r="A6" s="19">
        <v>3.0</v>
      </c>
      <c r="B6" s="16" t="str">
        <f>Data!$C8</f>
        <v>LAGZDIŅŠ Toms</v>
      </c>
      <c r="C6" s="16" t="str">
        <f>Data!$C9</f>
        <v>SPONER Alexander</v>
      </c>
      <c r="D6" s="20"/>
      <c r="E6" s="19">
        <v>3.0</v>
      </c>
      <c r="F6" s="16" t="str">
        <f>Data!$C8</f>
        <v>LAGZDIŅŠ Toms</v>
      </c>
      <c r="G6" s="16" t="str">
        <f>Data!$C9</f>
        <v>SPONER Alexander</v>
      </c>
      <c r="H6" s="21">
        <f t="array" ref="H6">IF(G6&lt;&gt;"",INDEX(Data!$G$4:$G$67,((ROW()-3)*2)-1,1),"")</f>
        <v>494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7.0" customHeight="1">
      <c r="A7" s="19">
        <v>4.0</v>
      </c>
      <c r="B7" s="16" t="str">
        <f>Data!$C10</f>
        <v>LEITNER Felix</v>
      </c>
      <c r="C7" s="16" t="str">
        <f>Data!$C11</f>
        <v>EDER Daniel</v>
      </c>
      <c r="D7" s="20"/>
      <c r="E7" s="19">
        <v>4.0</v>
      </c>
      <c r="F7" s="16" t="str">
        <f>Data!$C10</f>
        <v>LEITNER Felix</v>
      </c>
      <c r="G7" s="16" t="str">
        <f>Data!$C11</f>
        <v>EDER Daniel</v>
      </c>
      <c r="H7" s="21">
        <f t="array" ref="H7">IF(G7&lt;&gt;"",INDEX(Data!$G$4:$G$67,((ROW()-3)*2)-1,1),"")</f>
        <v>485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0" customHeight="1">
      <c r="A8" s="19">
        <v>5.0</v>
      </c>
      <c r="B8" s="16" t="str">
        <f>Data!$C12</f>
        <v>WESP Jonas</v>
      </c>
      <c r="C8" s="16" t="str">
        <f>Data!$C13</f>
        <v>PFEIFFER Michael</v>
      </c>
      <c r="D8" s="20"/>
      <c r="E8" s="19">
        <v>5.0</v>
      </c>
      <c r="F8" s="16" t="str">
        <f>Data!$C12</f>
        <v>WESP Jonas</v>
      </c>
      <c r="G8" s="16" t="str">
        <f>Data!$C13</f>
        <v>PFEIFFER Michael</v>
      </c>
      <c r="H8" s="21">
        <f t="array" ref="H8">IF(G8&lt;&gt;"",INDEX(Data!$G$4:$G$67,((ROW()-3)*2)-1,1),"")</f>
        <v>478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7.0" customHeight="1">
      <c r="A9" s="19">
        <v>6.0</v>
      </c>
      <c r="B9" s="16" t="str">
        <f>Data!$C14</f>
        <v>CUBASCH Onno</v>
      </c>
      <c r="C9" s="16" t="str">
        <f>Data!$C15</f>
        <v>NEHULIAIEV Oleksandr</v>
      </c>
      <c r="D9" s="20"/>
      <c r="E9" s="19">
        <v>6.0</v>
      </c>
      <c r="F9" s="16" t="str">
        <f>Data!$C14</f>
        <v>CUBASCH Onno</v>
      </c>
      <c r="G9" s="16" t="str">
        <f>Data!$C15</f>
        <v>NEHULIAIEV Oleksandr</v>
      </c>
      <c r="H9" s="21">
        <f t="array" ref="H9">IF(G9&lt;&gt;"",INDEX(Data!$G$4:$G$67,((ROW()-3)*2)-1,1),"")</f>
        <v>469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7.0" customHeight="1">
      <c r="A10" s="19">
        <v>7.0</v>
      </c>
      <c r="B10" s="16" t="str">
        <f>Data!$C16</f>
        <v>HOHENAUER Paul</v>
      </c>
      <c r="C10" s="16" t="str">
        <f>Data!$C17</f>
        <v>CARMANN Christoph Peter</v>
      </c>
      <c r="D10" s="20"/>
      <c r="E10" s="19">
        <v>7.0</v>
      </c>
      <c r="F10" s="16" t="str">
        <f>Data!$C16</f>
        <v>HOHENAUER Paul</v>
      </c>
      <c r="G10" s="16" t="str">
        <f>Data!$C17</f>
        <v>CARMANN Christoph Peter</v>
      </c>
      <c r="H10" s="21">
        <f t="array" ref="H10">IF(G10&lt;&gt;"",INDEX(Data!$G$4:$G$67,((ROW()-3)*2)-1,1),"")</f>
        <v>443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7.0" customHeight="1">
      <c r="A11" s="19">
        <v>8.0</v>
      </c>
      <c r="B11" s="16" t="str">
        <f>Data!$C18</f>
        <v>SCHEUCHER Lukas</v>
      </c>
      <c r="C11" s="16" t="str">
        <f>Data!$C19</f>
        <v>BAUER Alexander</v>
      </c>
      <c r="D11" s="20"/>
      <c r="E11" s="19">
        <v>8.0</v>
      </c>
      <c r="F11" s="16" t="str">
        <f>Data!$C18</f>
        <v>SCHEUCHER Lukas</v>
      </c>
      <c r="G11" s="16" t="str">
        <f>Data!$C19</f>
        <v>BAUER Alexander</v>
      </c>
      <c r="H11" s="21">
        <f t="array" ref="H11">IF(G11&lt;&gt;"",INDEX(Data!$G$4:$G$67,((ROW()-3)*2)-1,1),"")</f>
        <v>419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7.0" customHeight="1">
      <c r="A12" s="19">
        <v>9.0</v>
      </c>
      <c r="B12" s="16" t="str">
        <f>Data!$C20</f>
        <v>HARTEL Simon</v>
      </c>
      <c r="C12" s="16" t="str">
        <f>Data!$C21</f>
        <v>SANDNER Tobias</v>
      </c>
      <c r="D12" s="20"/>
      <c r="E12" s="19">
        <v>9.0</v>
      </c>
      <c r="F12" s="16" t="str">
        <f>Data!$C20</f>
        <v>HARTEL Simon</v>
      </c>
      <c r="G12" s="16" t="str">
        <f>Data!$C21</f>
        <v>SANDNER Tobias</v>
      </c>
      <c r="H12" s="21">
        <f t="array" ref="H12">IF(G12&lt;&gt;"",INDEX(Data!$G$4:$G$67,((ROW()-3)*2)-1,1),"")</f>
        <v>419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7.0" customHeight="1">
      <c r="A13" s="19">
        <v>10.0</v>
      </c>
      <c r="B13" s="16" t="str">
        <f>Data!$C22</f>
        <v>JANOTTA Tobias Michael</v>
      </c>
      <c r="C13" s="16" t="str">
        <f>Data!$C23</f>
        <v>OFNER Tobias</v>
      </c>
      <c r="D13" s="20"/>
      <c r="E13" s="19">
        <v>10.0</v>
      </c>
      <c r="F13" s="16" t="str">
        <f>Data!$C22</f>
        <v>JANOTTA Tobias Michael</v>
      </c>
      <c r="G13" s="16" t="str">
        <f>Data!$C23</f>
        <v>OFNER Tobias</v>
      </c>
      <c r="H13" s="21">
        <f t="array" ref="H13">IF(G13&lt;&gt;"",INDEX(Data!$G$4:$G$67,((ROW()-3)*2)-1,1),"")</f>
        <v>418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7.0" customHeight="1">
      <c r="A14" s="19">
        <v>11.0</v>
      </c>
      <c r="B14" s="16" t="str">
        <f>IF(ISBLANK(Data!$C24),"",Data!$C24)</f>
        <v>TKACHENKO Nikita</v>
      </c>
      <c r="C14" s="16" t="str">
        <f>IF(ISBLANK(Data!$C25),"",Data!$C25)</f>
        <v>KURZMANN Jakob-Lars</v>
      </c>
      <c r="D14" s="20"/>
      <c r="E14" s="19">
        <v>11.0</v>
      </c>
      <c r="F14" s="16" t="str">
        <f>IF(ISBLANK(Data!$C24),"",Data!$C24)</f>
        <v>TKACHENKO Nikita</v>
      </c>
      <c r="G14" s="16" t="str">
        <f>IF(ISBLANK(Data!$C25),"",Data!$C25)</f>
        <v>KURZMANN Jakob-Lars</v>
      </c>
      <c r="H14" s="21">
        <f t="array" ref="H14">IF(G14&lt;&gt;"",INDEX(Data!$G$4:$G$67,((ROW()-3)*2)-1,1),"")</f>
        <v>414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7.0" customHeight="1">
      <c r="A15" s="19">
        <v>12.0</v>
      </c>
      <c r="B15" s="16" t="str">
        <f>IF(ISBLANK(Data!$C26),"",Data!$C26)</f>
        <v>ALBRECHT Dominik</v>
      </c>
      <c r="C15" s="16" t="str">
        <f>IF(ISBLANK(Data!$C27),"",Data!$C27)</f>
        <v>HRADECSNI David</v>
      </c>
      <c r="D15" s="20"/>
      <c r="E15" s="19">
        <v>12.0</v>
      </c>
      <c r="F15" s="16" t="str">
        <f>IF(ISBLANK(Data!$C26),"",Data!$C26)</f>
        <v>ALBRECHT Dominik</v>
      </c>
      <c r="G15" s="16" t="str">
        <f>IF(ISBLANK(Data!$C27),"",Data!$C27)</f>
        <v>HRADECSNI David</v>
      </c>
      <c r="H15" s="21">
        <f t="array" ref="H15">IF(G15&lt;&gt;"",INDEX(Data!$G$4:$G$67,((ROW()-3)*2)-1,1),"")</f>
        <v>412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7.0" customHeight="1">
      <c r="A16" s="19">
        <v>13.0</v>
      </c>
      <c r="B16" s="16" t="str">
        <f>IF(ISBLANK(Data!$C28),"",Data!$C28)</f>
        <v>BARNABA Fabio</v>
      </c>
      <c r="C16" s="16" t="str">
        <f>IF(ISBLANK(Data!$C29),"",Data!$C29)</f>
        <v>HOLEČEK Marek</v>
      </c>
      <c r="D16" s="20"/>
      <c r="E16" s="19">
        <v>13.0</v>
      </c>
      <c r="F16" s="16" t="str">
        <f>IF(ISBLANK(Data!$C28),"",Data!$C28)</f>
        <v>BARNABA Fabio</v>
      </c>
      <c r="G16" s="16" t="str">
        <f>IF(ISBLANK(Data!$C29),"",Data!$C29)</f>
        <v>HOLEČEK Marek</v>
      </c>
      <c r="H16" s="21">
        <f t="array" ref="H16">IF(G16&lt;&gt;"",INDEX(Data!$G$4:$G$67,((ROW()-3)*2)-1,1),"")</f>
        <v>305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7.0" customHeight="1">
      <c r="A17" s="19">
        <v>14.0</v>
      </c>
      <c r="B17" s="16" t="str">
        <f>IF(ISBLANK(Data!$C30),"",Data!$C30)</f>
        <v>MOROSINI Martino</v>
      </c>
      <c r="C17" s="16" t="str">
        <f>IF(ISBLANK(Data!$C31),"",Data!$C31)</f>
        <v>JOVANOVIĆ Luka</v>
      </c>
      <c r="D17" s="20"/>
      <c r="E17" s="19">
        <v>14.0</v>
      </c>
      <c r="F17" s="16" t="str">
        <f>IF(ISBLANK(Data!$C30),"",Data!$C30)</f>
        <v>MOROSINI Martino</v>
      </c>
      <c r="G17" s="16" t="str">
        <f>IF(ISBLANK(Data!$C31),"",Data!$C31)</f>
        <v>JOVANOVIĆ Luka</v>
      </c>
      <c r="H17" s="21">
        <f t="array" ref="H17">IF(G17&lt;&gt;"",INDEX(Data!$G$4:$G$67,((ROW()-3)*2)-1,1),"")</f>
        <v>304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7.0" customHeight="1">
      <c r="A18" s="19">
        <v>15.0</v>
      </c>
      <c r="B18" s="16" t="str">
        <f>IF(ISBLANK(Data!$C32),"",Data!$C32)</f>
        <v>KLAFFINGER Ralph Marian</v>
      </c>
      <c r="C18" s="16" t="str">
        <f>IF(ISBLANK(Data!$C33),"",Data!$C33)</f>
        <v>ECKELBACHER Stefan</v>
      </c>
      <c r="D18" s="20"/>
      <c r="E18" s="19">
        <v>15.0</v>
      </c>
      <c r="F18" s="16" t="str">
        <f>IF(ISBLANK(Data!$C32),"",Data!$C32)</f>
        <v>KLAFFINGER Ralph Marian</v>
      </c>
      <c r="G18" s="16" t="str">
        <f>IF(ISBLANK(Data!$C33),"",Data!$C33)</f>
        <v>ECKELBACHER Stefan</v>
      </c>
      <c r="H18" s="21">
        <f t="array" ref="H18">IF(G18&lt;&gt;"",INDEX(Data!$G$4:$G$67,((ROW()-3)*2)-1,1),"")</f>
        <v>289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7.0" customHeight="1">
      <c r="A19" s="19">
        <v>16.0</v>
      </c>
      <c r="B19" s="16" t="str">
        <f>IF(ISBLANK(Data!$C34),"",Data!$C34)</f>
        <v>ZECHA Florian</v>
      </c>
      <c r="C19" s="16" t="str">
        <f>IF(ISBLANK(Data!$C35),"",Data!$C35)</f>
        <v>GRÜNWERTH Stefan</v>
      </c>
      <c r="D19" s="20"/>
      <c r="E19" s="19">
        <v>16.0</v>
      </c>
      <c r="F19" s="16" t="str">
        <f>IF(ISBLANK(Data!$C34),"",Data!$C34)</f>
        <v>ZECHA Florian</v>
      </c>
      <c r="G19" s="16" t="str">
        <f>IF(ISBLANK(Data!$C35),"",Data!$C35)</f>
        <v>GRÜNWERTH Stefan</v>
      </c>
      <c r="H19" s="21">
        <f t="array" ref="H19">IF(G19&lt;&gt;"",INDEX(Data!$G$4:$G$67,((ROW()-3)*2)-1,1),"")</f>
        <v>283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7.0" customHeight="1">
      <c r="A20" s="19">
        <v>17.0</v>
      </c>
      <c r="B20" s="16" t="str">
        <f>IF(ISBLANK(Data!$C36),"",Data!$C36)</f>
        <v>NOLL Maximilian</v>
      </c>
      <c r="C20" s="16" t="str">
        <f>IF(ISBLANK(Data!$C37),"",Data!$C37)</f>
        <v>WEIKERT Florian</v>
      </c>
      <c r="D20" s="20"/>
      <c r="E20" s="19">
        <v>17.0</v>
      </c>
      <c r="F20" s="16" t="str">
        <f>IF(ISBLANK(Data!$C36),"",Data!$C36)</f>
        <v>NOLL Maximilian</v>
      </c>
      <c r="G20" s="16" t="str">
        <f>IF(ISBLANK(Data!$C37),"",Data!$C37)</f>
        <v>WEIKERT Florian</v>
      </c>
      <c r="H20" s="21">
        <f t="array" ref="H20">IF(G20&lt;&gt;"",INDEX(Data!$G$4:$G$67,((ROW()-3)*2)-1,1),"")</f>
        <v>282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7.0" customHeight="1">
      <c r="A21" s="19">
        <v>18.0</v>
      </c>
      <c r="B21" s="16" t="str">
        <f>IF(ISBLANK(Data!$C38),"",Data!$C38)</f>
        <v>KACZMARCZYK Krzysztof</v>
      </c>
      <c r="C21" s="16" t="str">
        <f>IF(ISBLANK(Data!$C39),"",Data!$C39)</f>
        <v>GRAM Michael</v>
      </c>
      <c r="D21" s="20"/>
      <c r="E21" s="19">
        <v>18.0</v>
      </c>
      <c r="F21" s="16" t="str">
        <f>IF(ISBLANK(Data!$C38),"",Data!$C38)</f>
        <v>KACZMARCZYK Krzysztof</v>
      </c>
      <c r="G21" s="16" t="str">
        <f>IF(ISBLANK(Data!$C39),"",Data!$C39)</f>
        <v>GRAM Michael</v>
      </c>
      <c r="H21" s="21">
        <f t="array" ref="H21">IF(G21&lt;&gt;"",INDEX(Data!$G$4:$G$67,((ROW()-3)*2)-1,1),"")</f>
        <v>243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7.0" customHeight="1">
      <c r="A22" s="19">
        <v>19.0</v>
      </c>
      <c r="B22" s="16" t="str">
        <f>IF(ISBLANK(Data!$C40),"",Data!$C40)</f>
        <v>SUN Han</v>
      </c>
      <c r="C22" s="16" t="str">
        <f>IF(ISBLANK(Data!$C41),"",Data!$C41)</f>
        <v>LAKOMY Felix</v>
      </c>
      <c r="D22" s="20"/>
      <c r="E22" s="19">
        <v>19.0</v>
      </c>
      <c r="F22" s="16" t="str">
        <f>IF(ISBLANK(Data!$C40),"",Data!$C40)</f>
        <v>SUN Han</v>
      </c>
      <c r="G22" s="16" t="str">
        <f>IF(ISBLANK(Data!$C41),"",Data!$C41)</f>
        <v>LAKOMY Felix</v>
      </c>
      <c r="H22" s="21">
        <f t="array" ref="H22">IF(G22&lt;&gt;"",INDEX(Data!$G$4:$G$67,((ROW()-3)*2)-1,1),"")</f>
        <v>193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7.0" customHeight="1">
      <c r="A23" s="19">
        <v>20.0</v>
      </c>
      <c r="B23" s="16" t="str">
        <f>IF(ISBLANK(Data!$C42),"",Data!$C42)</f>
        <v>HOFBAUER Julian</v>
      </c>
      <c r="C23" s="16" t="str">
        <f>IF(ISBLANK(Data!$C43),"",Data!$C43)</f>
        <v>BOHACEK Horst</v>
      </c>
      <c r="D23" s="20"/>
      <c r="E23" s="19">
        <v>20.0</v>
      </c>
      <c r="F23" s="16" t="str">
        <f>IF(ISBLANK(Data!$C42),"",Data!$C42)</f>
        <v>HOFBAUER Julian</v>
      </c>
      <c r="G23" s="16" t="str">
        <f>IF(ISBLANK(Data!$C43),"",Data!$C43)</f>
        <v>BOHACEK Horst</v>
      </c>
      <c r="H23" s="21">
        <f t="array" ref="H23">IF(G23&lt;&gt;"",INDEX(Data!$G$4:$G$67,((ROW()-3)*2)-1,1),"")</f>
        <v>183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7.0" customHeight="1">
      <c r="A24" s="19">
        <v>21.0</v>
      </c>
      <c r="B24" s="16" t="str">
        <f>IF(ISBLANK(Data!$C44),"",Data!$C44)</f>
        <v>JOBST Nico</v>
      </c>
      <c r="C24" s="16" t="str">
        <f>IF(ISBLANK(Data!$C45),"",Data!$C45)</f>
        <v>GAPPNIG Jan-Erik</v>
      </c>
      <c r="D24" s="20"/>
      <c r="E24" s="19">
        <v>21.0</v>
      </c>
      <c r="F24" s="16" t="str">
        <f>IF(ISBLANK(Data!$C44),"",Data!$C44)</f>
        <v>JOBST Nico</v>
      </c>
      <c r="G24" s="16" t="str">
        <f>IF(ISBLANK(Data!$C45),"",Data!$C45)</f>
        <v>GAPPNIG Jan-Erik</v>
      </c>
      <c r="H24" s="21">
        <f t="array" ref="H24">IF(G24&lt;&gt;"",INDEX(Data!$G$4:$G$67,((ROW()-3)*2)-1,1),"")</f>
        <v>180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7.0" customHeight="1">
      <c r="A25" s="19">
        <v>22.0</v>
      </c>
      <c r="B25" s="16" t="str">
        <f>IF(ISBLANK(Data!$C46),"",Data!$C46)</f>
        <v>SCHEBELLA David</v>
      </c>
      <c r="C25" s="16" t="str">
        <f>IF(ISBLANK(Data!$C47),"",Data!$C47)</f>
        <v>GRAF Alexander</v>
      </c>
      <c r="D25" s="20"/>
      <c r="E25" s="19">
        <v>22.0</v>
      </c>
      <c r="F25" s="16" t="str">
        <f>IF(ISBLANK(Data!$C46),"",Data!$C46)</f>
        <v>SCHEBELLA David</v>
      </c>
      <c r="G25" s="16" t="str">
        <f>IF(ISBLANK(Data!$C47),"",Data!$C47)</f>
        <v>GRAF Alexander</v>
      </c>
      <c r="H25" s="21">
        <f t="array" ref="H25">IF(G25&lt;&gt;"",INDEX(Data!$G$4:$G$67,((ROW()-3)*2)-1,1),"")</f>
        <v>177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7.0" customHeight="1">
      <c r="A26" s="19">
        <v>23.0</v>
      </c>
      <c r="B26" s="16" t="str">
        <f>IF(ISBLANK(Data!$C48),"",Data!$C48)</f>
        <v>LANGER Moritz</v>
      </c>
      <c r="C26" s="16" t="str">
        <f>IF(ISBLANK(Data!$C49),"",Data!$C49)</f>
        <v>SAFTIUK Maksym</v>
      </c>
      <c r="D26" s="20"/>
      <c r="E26" s="19">
        <v>23.0</v>
      </c>
      <c r="F26" s="16" t="str">
        <f>IF(ISBLANK(Data!$C48),"",Data!$C48)</f>
        <v>LANGER Moritz</v>
      </c>
      <c r="G26" s="16" t="str">
        <f>IF(ISBLANK(Data!$C49),"",Data!$C49)</f>
        <v>SAFTIUK Maksym</v>
      </c>
      <c r="H26" s="21">
        <f t="array" ref="H26">IF(G26&lt;&gt;"",INDEX(Data!$G$4:$G$67,((ROW()-3)*2)-1,1),"")</f>
        <v>176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7.0" customHeight="1">
      <c r="A27" s="19">
        <v>24.0</v>
      </c>
      <c r="B27" s="16" t="str">
        <f>IF(ISBLANK(Data!$C50),"",Data!$C50)</f>
        <v>LEPIC Jakob</v>
      </c>
      <c r="C27" s="16" t="str">
        <f>IF(ISBLANK(Data!$C51),"",Data!$C51)</f>
        <v>VUKOVIC Jan</v>
      </c>
      <c r="D27" s="20"/>
      <c r="E27" s="19">
        <v>24.0</v>
      </c>
      <c r="F27" s="16" t="str">
        <f>IF(ISBLANK(Data!$C50),"",Data!$C50)</f>
        <v>LEPIC Jakob</v>
      </c>
      <c r="G27" s="16" t="str">
        <f>IF(ISBLANK(Data!$C51),"",Data!$C51)</f>
        <v>VUKOVIC Jan</v>
      </c>
      <c r="H27" s="21">
        <f t="array" ref="H27">IF(G27&lt;&gt;"",INDEX(Data!$G$4:$G$67,((ROW()-3)*2)-1,1),"")</f>
        <v>149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7.0" customHeight="1">
      <c r="A28" s="19">
        <v>25.0</v>
      </c>
      <c r="B28" s="16" t="str">
        <f>IF(ISBLANK(Data!$C52),"",Data!$C52)</f>
        <v>EICHINGER Marc</v>
      </c>
      <c r="C28" s="16" t="str">
        <f>IF(ISBLANK(Data!$C53),"",Data!$C53)</f>
        <v>REISS Aaron</v>
      </c>
      <c r="D28" s="20"/>
      <c r="E28" s="19">
        <v>25.0</v>
      </c>
      <c r="F28" s="16" t="str">
        <f>IF(ISBLANK(Data!$C52),"",Data!$C52)</f>
        <v>EICHINGER Marc</v>
      </c>
      <c r="G28" s="16" t="str">
        <f>IF(ISBLANK(Data!$C53),"",Data!$C53)</f>
        <v>REISS Aaron</v>
      </c>
      <c r="H28" s="21">
        <f t="array" ref="H28">IF(G28&lt;&gt;"",INDEX(Data!$G$4:$G$67,((ROW()-3)*2)-1,1),"")</f>
        <v>136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7.0" customHeight="1">
      <c r="A29" s="19">
        <v>26.0</v>
      </c>
      <c r="B29" s="16" t="str">
        <f>IF(ISBLANK(Data!$C54),"",Data!$C54)</f>
        <v>TIWALD Martin</v>
      </c>
      <c r="C29" s="16" t="str">
        <f>IF(ISBLANK(Data!$C55),"",Data!$C55)</f>
        <v>ALTENRIEDERER Jürgen</v>
      </c>
      <c r="D29" s="20"/>
      <c r="E29" s="19">
        <v>26.0</v>
      </c>
      <c r="F29" s="16" t="str">
        <f>IF(ISBLANK(Data!$C54),"",Data!$C54)</f>
        <v>TIWALD Martin</v>
      </c>
      <c r="G29" s="16" t="str">
        <f>IF(ISBLANK(Data!$C55),"",Data!$C55)</f>
        <v>ALTENRIEDERER Jürgen</v>
      </c>
      <c r="H29" s="21">
        <f t="array" ref="H29">IF(G29&lt;&gt;"",INDEX(Data!$G$4:$G$67,((ROW()-3)*2)-1,1),"")</f>
        <v>114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7.0" customHeight="1">
      <c r="A30" s="19">
        <v>27.0</v>
      </c>
      <c r="B30" s="16" t="str">
        <f>IF(ISBLANK(Data!$C56),"",Data!$C56)</f>
        <v>MALICKI Jakob Julian</v>
      </c>
      <c r="C30" s="16" t="str">
        <f>IF(ISBLANK(Data!$C57),"",Data!$C57)</f>
        <v>FLORIÁN Lukas</v>
      </c>
      <c r="D30" s="20"/>
      <c r="E30" s="19">
        <v>27.0</v>
      </c>
      <c r="F30" s="16" t="str">
        <f>IF(ISBLANK(Data!$C56),"",Data!$C56)</f>
        <v>MALICKI Jakob Julian</v>
      </c>
      <c r="G30" s="16" t="str">
        <f>IF(ISBLANK(Data!$C57),"",Data!$C57)</f>
        <v>FLORIÁN Lukas</v>
      </c>
      <c r="H30" s="21">
        <f t="array" ref="H30">IF(G30&lt;&gt;"",INDEX(Data!$G$4:$G$67,((ROW()-3)*2)-1,1),"")</f>
        <v>113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7.0" customHeight="1">
      <c r="A31" s="19">
        <v>28.0</v>
      </c>
      <c r="B31" s="16" t="str">
        <f>IF(ISBLANK(Data!$C58),"",Data!$C58)</f>
        <v>DESSEWFFY Gabor</v>
      </c>
      <c r="C31" s="16" t="str">
        <f>IF(ISBLANK(Data!$C59),"",Data!$C59)</f>
        <v>ZABLOUDIL Luca</v>
      </c>
      <c r="D31" s="20"/>
      <c r="E31" s="19">
        <v>28.0</v>
      </c>
      <c r="F31" s="16" t="str">
        <f>IF(ISBLANK(Data!$C58),"",Data!$C58)</f>
        <v>DESSEWFFY Gabor</v>
      </c>
      <c r="G31" s="16" t="str">
        <f>IF(ISBLANK(Data!$C59),"",Data!$C59)</f>
        <v>ZABLOUDIL Luca</v>
      </c>
      <c r="H31" s="21">
        <f t="array" ref="H31">IF(G31&lt;&gt;"",INDEX(Data!$G$4:$G$67,((ROW()-3)*2)-1,1),"")</f>
        <v>110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7.0" customHeight="1">
      <c r="A32" s="19">
        <v>29.0</v>
      </c>
      <c r="B32" s="16" t="str">
        <f>IF(ISBLANK(Data!$C60),"",Data!$C60)</f>
        <v>CHLUP Sebastian</v>
      </c>
      <c r="C32" s="16" t="str">
        <f>IF(ISBLANK(Data!$C61),"",Data!$C61)</f>
        <v>FREITTER Simon</v>
      </c>
      <c r="D32" s="20"/>
      <c r="E32" s="19">
        <v>29.0</v>
      </c>
      <c r="F32" s="16" t="str">
        <f>IF(ISBLANK(Data!$C60),"",Data!$C60)</f>
        <v>CHLUP Sebastian</v>
      </c>
      <c r="G32" s="16" t="str">
        <f>IF(ISBLANK(Data!$C61),"",Data!$C61)</f>
        <v>FREITTER Simon</v>
      </c>
      <c r="H32" s="21">
        <f t="array" ref="H32">IF(G32&lt;&gt;"",INDEX(Data!$G$4:$G$67,((ROW()-3)*2)-1,1),"")</f>
        <v>81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7.0" customHeight="1">
      <c r="A33" s="19">
        <v>30.0</v>
      </c>
      <c r="B33" s="16" t="str">
        <f>IF(ISBLANK(Data!$C62),"",Data!$C62)</f>
        <v>WEISKIRCHNER Reinhard</v>
      </c>
      <c r="C33" s="16" t="str">
        <f>IF(ISBLANK(Data!$C63),"",Data!$C63)</f>
        <v>STEINMETZ Christoph</v>
      </c>
      <c r="D33" s="20"/>
      <c r="E33" s="19">
        <v>30.0</v>
      </c>
      <c r="F33" s="16" t="str">
        <f>IF(ISBLANK(Data!$C62),"",Data!$C62)</f>
        <v>WEISKIRCHNER Reinhard</v>
      </c>
      <c r="G33" s="16" t="str">
        <f>IF(ISBLANK(Data!$C63),"",Data!$C63)</f>
        <v>STEINMETZ Christoph</v>
      </c>
      <c r="H33" s="21">
        <f t="array" ref="H33">IF(G33&lt;&gt;"",INDEX(Data!$G$4:$G$67,((ROW()-3)*2)-1,1),"")</f>
        <v>62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7.0" customHeight="1">
      <c r="A34" s="19">
        <v>31.0</v>
      </c>
      <c r="B34" s="16" t="str">
        <f>IF(ISBLANK(Data!$C64),"",Data!$C64)</f>
        <v>HÖRL Moritz</v>
      </c>
      <c r="C34" s="16" t="str">
        <f>IF(ISBLANK(Data!$C65),"",Data!$C65)</f>
        <v>RAUTER Maximilian</v>
      </c>
      <c r="D34" s="20"/>
      <c r="E34" s="19">
        <v>31.0</v>
      </c>
      <c r="F34" s="16" t="str">
        <f>IF(ISBLANK(Data!$C64),"",Data!$C64)</f>
        <v>HÖRL Moritz</v>
      </c>
      <c r="G34" s="16" t="str">
        <f>IF(ISBLANK(Data!$C65),"",Data!$C65)</f>
        <v>RAUTER Maximilian</v>
      </c>
      <c r="H34" s="21">
        <f t="array" ref="H34">IF(G34&lt;&gt;"",INDEX(Data!$G$4:$G$67,((ROW()-3)*2)-1,1),"")</f>
        <v>55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7.0" customHeight="1">
      <c r="A35" s="22">
        <v>32.0</v>
      </c>
      <c r="B35" s="23" t="str">
        <f>IF(ISBLANK(Data!$C66),"",Data!$C66)</f>
        <v>FLECHL David</v>
      </c>
      <c r="C35" s="23" t="str">
        <f>IF(ISBLANK(Data!$C67),"",Data!$C67)</f>
        <v>OELSCHLÄGEL Paul</v>
      </c>
      <c r="D35" s="24"/>
      <c r="E35" s="22">
        <v>32.0</v>
      </c>
      <c r="F35" s="23" t="str">
        <f>IF(ISBLANK(Data!$C66),"",Data!$C66)</f>
        <v>FLECHL David</v>
      </c>
      <c r="G35" s="23" t="str">
        <f>IF(ISBLANK(Data!$C67),"",Data!$C67)</f>
        <v>OELSCHLÄGEL Paul</v>
      </c>
      <c r="H35" s="25">
        <f t="array" ref="H35">IF(G35&lt;&gt;"",INDEX(Data!$G$4:$G$67,((ROW()-3)*2)-1,1),"")</f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7.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7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7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7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7.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7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7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7.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7.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7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7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7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7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7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7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7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7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7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7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7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7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7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7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7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7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7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7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7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7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7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7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7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7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7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7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7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7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7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7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7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7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7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7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7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7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7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7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7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7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7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7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7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7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7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7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7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7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7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7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7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7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7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7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7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7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7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7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7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7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7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7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7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7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7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7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7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7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7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7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7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7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7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7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7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7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7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7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7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7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7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7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7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7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7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7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7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7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7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7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7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7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7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7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7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7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7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7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7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7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7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7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7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7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7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7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7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7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7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7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7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7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7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7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7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7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7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7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7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7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7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7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7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7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7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7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7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7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7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7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7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7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7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7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7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7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7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7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7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7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7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7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7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7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7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7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7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7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7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7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7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7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7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7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7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7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7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7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7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7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7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7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7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7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7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7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7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7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7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7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7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7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7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7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7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7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7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7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7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7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7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7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7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7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7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7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7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7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7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7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7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7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7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7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7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7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7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7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7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7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7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7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7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7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7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7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7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7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7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7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7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7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7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7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7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7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7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7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7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7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7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7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7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7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7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7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7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7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7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7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7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7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7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7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7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7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7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7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7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7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7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7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7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7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7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7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7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7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7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7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7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7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7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7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7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7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7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7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7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7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7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7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7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7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7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7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7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7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7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7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7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7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7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7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7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7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7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7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7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7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7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7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7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7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7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7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7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7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7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7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7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7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7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7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7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7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7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7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7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7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7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7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7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7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7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7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7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7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7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7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7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7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7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7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7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7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7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7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7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7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7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7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7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7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7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7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7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7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7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7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7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7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7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7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7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7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7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7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7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7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7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7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7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7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7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7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7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7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7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7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7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7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7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7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7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7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7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7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7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7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7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7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7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7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7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7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7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7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7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7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7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7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7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7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7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7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7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7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7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7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7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7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7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7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7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7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7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7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7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7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7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7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7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7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7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7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7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7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7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7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7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7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7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7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7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7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7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7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7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7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7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7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7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7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7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7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7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7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7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7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7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7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7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7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7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7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7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7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7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7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7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7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7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7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7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7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7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7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7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7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7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7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7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7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7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7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7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7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7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7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7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7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7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7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7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7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7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7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7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7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7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7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7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7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7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7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7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7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7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7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7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7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7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7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7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7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7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7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7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7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7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7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7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7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7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7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7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7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7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7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7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7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7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7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7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7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7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7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7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7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7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7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7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7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7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7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7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7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7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7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7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7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7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7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7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7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7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7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7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7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7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7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7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7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7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7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7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7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7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7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7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7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7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7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7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7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7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7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7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7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7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7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7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7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7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7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7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7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7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7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7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7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7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7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7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7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7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7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7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7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7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7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7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7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7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7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7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7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7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7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7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7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7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7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7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7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7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7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7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7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7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7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7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7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7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7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7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7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7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7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7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7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7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7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7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7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7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7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7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7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7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7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7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7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7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7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7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7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7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7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7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7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7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7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7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7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7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7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7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7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7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7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7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7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7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7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7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7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7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7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7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7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7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7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7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7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7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7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7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7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7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7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7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7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7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7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7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7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7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7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7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7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7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7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7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7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7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7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7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7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7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7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7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7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7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7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7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7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7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7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7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7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7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7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7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7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7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7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7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7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7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7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7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7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7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7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7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7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7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7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7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7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7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7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7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7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7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7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7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7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7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7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7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7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7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7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7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7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7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7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7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7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7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7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7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7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7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7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7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7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7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7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7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7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7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7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7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7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7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7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7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7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7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7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7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7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7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7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7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7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7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7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7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7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7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7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7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7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7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7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7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7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7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7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7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7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7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7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7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7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7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7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7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7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7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7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7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7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7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7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7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7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7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7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7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7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7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7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7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7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7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7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7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7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7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7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7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7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7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7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7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7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7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7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7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7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7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7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7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7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7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7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7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7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7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7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7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7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7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7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7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7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7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7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7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7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7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7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7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7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7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7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7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7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7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7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7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7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7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7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7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7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7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7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7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7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7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7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7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7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7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7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7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7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7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7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7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7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7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7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7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7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7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7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7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7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7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7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7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7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7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7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7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7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7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7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7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7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7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7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7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7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7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7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7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7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7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7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7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7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7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7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7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7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7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7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7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7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7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7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7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7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7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7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7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7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7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7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7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7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7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7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7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7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7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7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7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7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7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7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7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7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7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7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7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7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7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7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7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7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7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7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7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7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7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7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7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7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7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7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7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7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7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7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7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7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7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7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7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7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7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7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7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7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7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7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7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7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7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7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7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7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7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7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27.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27.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D1"/>
    <mergeCell ref="E1:H1"/>
    <mergeCell ref="A2:A3"/>
    <mergeCell ref="D2:D3"/>
    <mergeCell ref="E2:E3"/>
    <mergeCell ref="H2:H3"/>
  </mergeCells>
  <printOptions horizontalCentered="1"/>
  <pageMargins bottom="0.1968503937007874" footer="0.0" header="0.0" left="0.2755905511811024" right="0.2755905511811024" top="0.196850393700787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31.0"/>
    <col customWidth="1" min="3" max="3" width="12.71"/>
    <col customWidth="1" min="4" max="4" width="13.86"/>
    <col customWidth="1" min="5" max="5" width="17.57"/>
    <col customWidth="1" min="6" max="6" width="10.71"/>
    <col customWidth="1" min="7" max="7" width="26.0"/>
    <col customWidth="1" min="8" max="8" width="5.43"/>
    <col customWidth="1" min="9" max="26" width="10.71"/>
  </cols>
  <sheetData>
    <row r="1">
      <c r="A1" s="26" t="s">
        <v>214</v>
      </c>
      <c r="B1" s="26" t="s">
        <v>215</v>
      </c>
      <c r="C1" s="27" t="s">
        <v>216</v>
      </c>
      <c r="D1" s="27" t="s">
        <v>217</v>
      </c>
      <c r="E1" s="27" t="s">
        <v>218</v>
      </c>
    </row>
    <row r="2">
      <c r="A2" s="28" t="s">
        <v>219</v>
      </c>
      <c r="B2" s="28" t="str">
        <f>CONCATENATE(Data!J4," / ",Data!L4)</f>
        <v>CSEKÖ / TRAUTH</v>
      </c>
      <c r="C2" s="28">
        <v>1.0</v>
      </c>
      <c r="D2" s="29">
        <f>Nennliste!H4</f>
        <v>688</v>
      </c>
      <c r="E2" s="28"/>
    </row>
    <row r="3">
      <c r="A3" s="28" t="s">
        <v>219</v>
      </c>
      <c r="B3" s="28" t="str">
        <f>CONCATENATE(Data!J6," / ",Data!L6)</f>
        <v>FÜHRER / SEISER</v>
      </c>
      <c r="C3" s="28">
        <v>2.0</v>
      </c>
      <c r="D3" s="29">
        <f>Nennliste!H5</f>
        <v>597</v>
      </c>
      <c r="E3" s="28"/>
    </row>
    <row r="4">
      <c r="A4" s="28" t="s">
        <v>219</v>
      </c>
      <c r="B4" s="28" t="str">
        <f>CONCATENATE(Data!J8," / ",Data!L8)</f>
        <v>LAGZDIŅŠ / SPONER</v>
      </c>
      <c r="C4" s="28">
        <v>3.0</v>
      </c>
      <c r="D4" s="29">
        <f>Nennliste!H6</f>
        <v>494</v>
      </c>
      <c r="E4" s="28"/>
    </row>
    <row r="5">
      <c r="A5" s="28" t="s">
        <v>219</v>
      </c>
      <c r="B5" s="28" t="str">
        <f>CONCATENATE(Data!J10," / ",Data!L10)</f>
        <v>LEITNER / EDER</v>
      </c>
      <c r="C5" s="28">
        <v>4.0</v>
      </c>
      <c r="D5" s="29">
        <f>Nennliste!H7</f>
        <v>485</v>
      </c>
      <c r="E5" s="28"/>
    </row>
    <row r="6">
      <c r="A6" s="28" t="s">
        <v>219</v>
      </c>
      <c r="B6" s="28" t="str">
        <f>CONCATENATE(Data!J12," / ",Data!L12)</f>
        <v>WESP / PFEIFFER</v>
      </c>
      <c r="C6" s="28">
        <v>5.0</v>
      </c>
      <c r="D6" s="29">
        <f>Nennliste!H8</f>
        <v>478</v>
      </c>
      <c r="E6" s="28"/>
    </row>
    <row r="7">
      <c r="A7" s="28" t="s">
        <v>219</v>
      </c>
      <c r="B7" s="28" t="str">
        <f>CONCATENATE(Data!J14," / ",Data!L14)</f>
        <v>CUBASCH / NEHULIAIEV</v>
      </c>
      <c r="C7" s="28">
        <v>6.0</v>
      </c>
      <c r="D7" s="29">
        <f>Nennliste!H9</f>
        <v>469</v>
      </c>
      <c r="E7" s="28"/>
    </row>
    <row r="8">
      <c r="A8" s="28" t="s">
        <v>219</v>
      </c>
      <c r="B8" s="28" t="str">
        <f>CONCATENATE(Data!J16," / ",Data!L16)</f>
        <v>HOHENAUER / CARMANN</v>
      </c>
      <c r="C8" s="28">
        <v>7.0</v>
      </c>
      <c r="D8" s="29">
        <f>Nennliste!H10</f>
        <v>443</v>
      </c>
      <c r="E8" s="28"/>
    </row>
    <row r="9">
      <c r="A9" s="28" t="s">
        <v>219</v>
      </c>
      <c r="B9" s="28" t="str">
        <f>CONCATENATE(Data!J18," / ",Data!L18)</f>
        <v>SCHEUCHER / BAUER</v>
      </c>
      <c r="C9" s="28">
        <v>8.0</v>
      </c>
      <c r="D9" s="29">
        <f>Nennliste!H11</f>
        <v>419</v>
      </c>
      <c r="E9" s="28"/>
    </row>
    <row r="10">
      <c r="A10" s="28" t="s">
        <v>219</v>
      </c>
      <c r="B10" s="28" t="str">
        <f>CONCATENATE(Data!J20," / ",Data!L20)</f>
        <v>HARTEL / SANDNER</v>
      </c>
      <c r="C10" s="28">
        <v>9.0</v>
      </c>
      <c r="D10" s="29">
        <f>Nennliste!H12</f>
        <v>419</v>
      </c>
      <c r="E10" s="28"/>
    </row>
    <row r="11">
      <c r="A11" s="28" t="s">
        <v>219</v>
      </c>
      <c r="B11" s="28" t="str">
        <f>CONCATENATE(Data!J22," / ",Data!L22)</f>
        <v>JANOTTA / OFNER</v>
      </c>
      <c r="C11" s="28">
        <v>10.0</v>
      </c>
      <c r="D11" s="29">
        <f>Nennliste!H13</f>
        <v>418</v>
      </c>
      <c r="E11" s="28"/>
    </row>
    <row r="12">
      <c r="A12" s="28" t="s">
        <v>219</v>
      </c>
      <c r="B12" s="28" t="str">
        <f>CONCATENATE(Data!J24," / ",Data!L24)</f>
        <v>TKACHENKO / KURZMANN</v>
      </c>
      <c r="C12" s="28">
        <v>11.0</v>
      </c>
      <c r="D12" s="29">
        <f>Nennliste!H14</f>
        <v>414</v>
      </c>
      <c r="E12" s="28"/>
    </row>
    <row r="13">
      <c r="A13" s="28" t="s">
        <v>219</v>
      </c>
      <c r="B13" s="28" t="str">
        <f>CONCATENATE(Data!J26," / ",Data!L26)</f>
        <v>ALBRECHT / HRADECSNI</v>
      </c>
      <c r="C13" s="28">
        <v>12.0</v>
      </c>
      <c r="D13" s="29">
        <f>Nennliste!H15</f>
        <v>412</v>
      </c>
      <c r="E13" s="28"/>
    </row>
    <row r="14">
      <c r="A14" s="28" t="s">
        <v>219</v>
      </c>
      <c r="B14" s="28" t="str">
        <f>CONCATENATE(Data!J28," / ",Data!L28)</f>
        <v>BARNABA / HOLEČEK</v>
      </c>
      <c r="C14" s="28">
        <v>13.0</v>
      </c>
      <c r="D14" s="29">
        <f>Nennliste!H16</f>
        <v>305</v>
      </c>
      <c r="E14" s="28"/>
    </row>
    <row r="15">
      <c r="A15" s="28" t="s">
        <v>219</v>
      </c>
      <c r="B15" s="28" t="str">
        <f>CONCATENATE(Data!J30," / ",Data!L30)</f>
        <v>MOROSINI / JOVANOVIĆ</v>
      </c>
      <c r="C15" s="28">
        <v>14.0</v>
      </c>
      <c r="D15" s="29">
        <f>Nennliste!H17</f>
        <v>304</v>
      </c>
      <c r="E15" s="28"/>
    </row>
    <row r="16">
      <c r="A16" s="28" t="s">
        <v>219</v>
      </c>
      <c r="B16" s="28" t="str">
        <f>CONCATENATE(Data!J32," / ",Data!L32)</f>
        <v>KLAFFINGER / ECKELBACHER</v>
      </c>
      <c r="C16" s="28">
        <v>15.0</v>
      </c>
      <c r="D16" s="29">
        <f>Nennliste!H18</f>
        <v>289</v>
      </c>
      <c r="E16" s="28"/>
    </row>
    <row r="17">
      <c r="A17" s="28" t="s">
        <v>219</v>
      </c>
      <c r="B17" s="28" t="str">
        <f>CONCATENATE(Data!J34," / ",Data!L34)</f>
        <v>ZECHA / GRÜNWERTH</v>
      </c>
      <c r="C17" s="28">
        <v>16.0</v>
      </c>
      <c r="D17" s="29">
        <f>Nennliste!H19</f>
        <v>283</v>
      </c>
      <c r="E17" s="30"/>
    </row>
    <row r="18">
      <c r="A18" s="28" t="s">
        <v>219</v>
      </c>
      <c r="B18" s="28" t="str">
        <f>CONCATENATE(Data!J36," / ",Data!L36)</f>
        <v>NOLL / WEIKERT</v>
      </c>
      <c r="C18" s="28">
        <v>17.0</v>
      </c>
      <c r="D18" s="29">
        <f>Nennliste!H20</f>
        <v>282</v>
      </c>
      <c r="E18" s="28"/>
    </row>
    <row r="19">
      <c r="A19" s="28" t="s">
        <v>219</v>
      </c>
      <c r="B19" s="28" t="str">
        <f>CONCATENATE(Data!J38," / ",Data!L38)</f>
        <v>KACZMARCZYK / GRAM</v>
      </c>
      <c r="C19" s="28">
        <v>18.0</v>
      </c>
      <c r="D19" s="29">
        <f>Nennliste!H21</f>
        <v>243</v>
      </c>
      <c r="E19" s="28"/>
    </row>
    <row r="20">
      <c r="A20" s="28" t="s">
        <v>219</v>
      </c>
      <c r="B20" s="28" t="str">
        <f>CONCATENATE(Data!J40," / ",Data!L40)</f>
        <v>SUN / LAKOMY</v>
      </c>
      <c r="C20" s="28">
        <v>19.0</v>
      </c>
      <c r="D20" s="29">
        <f>Nennliste!H22</f>
        <v>193</v>
      </c>
      <c r="E20" s="28"/>
    </row>
    <row r="21" ht="15.75" customHeight="1">
      <c r="A21" s="28" t="s">
        <v>219</v>
      </c>
      <c r="B21" s="28" t="str">
        <f>CONCATENATE(Data!J42," / ",Data!L42)</f>
        <v>HOFBAUER / BOHACEK</v>
      </c>
      <c r="C21" s="28">
        <v>20.0</v>
      </c>
      <c r="D21" s="29">
        <f>Nennliste!H23</f>
        <v>183</v>
      </c>
      <c r="E21" s="28"/>
    </row>
    <row r="22" ht="15.75" customHeight="1">
      <c r="A22" s="28" t="s">
        <v>219</v>
      </c>
      <c r="B22" s="28" t="str">
        <f>CONCATENATE(Data!J44," / ",Data!L44)</f>
        <v>JOBST / GAPPNIG</v>
      </c>
      <c r="C22" s="28">
        <v>21.0</v>
      </c>
      <c r="D22" s="29">
        <f>Nennliste!H24</f>
        <v>180</v>
      </c>
      <c r="E22" s="28"/>
    </row>
    <row r="23" ht="15.75" customHeight="1">
      <c r="A23" s="28" t="s">
        <v>219</v>
      </c>
      <c r="B23" s="28" t="str">
        <f>CONCATENATE(Data!J46," / ",Data!L46)</f>
        <v>SCHEBELLA / GRAF</v>
      </c>
      <c r="C23" s="28">
        <v>22.0</v>
      </c>
      <c r="D23" s="29">
        <f>Nennliste!H25</f>
        <v>177</v>
      </c>
      <c r="E23" s="28"/>
    </row>
    <row r="24" ht="15.75" customHeight="1">
      <c r="A24" s="28" t="s">
        <v>219</v>
      </c>
      <c r="B24" s="28" t="str">
        <f>CONCATENATE(Data!J48," / ",Data!L48)</f>
        <v>LANGER / SAFTIUK</v>
      </c>
      <c r="C24" s="28">
        <v>23.0</v>
      </c>
      <c r="D24" s="29">
        <f>Nennliste!H26</f>
        <v>176</v>
      </c>
      <c r="E24" s="28"/>
    </row>
    <row r="25" ht="15.75" customHeight="1">
      <c r="A25" s="28" t="s">
        <v>219</v>
      </c>
      <c r="B25" s="28" t="str">
        <f>CONCATENATE(Data!J50," / ",Data!L50)</f>
        <v>LEPIC / VUKOVIC</v>
      </c>
      <c r="C25" s="28">
        <v>24.0</v>
      </c>
      <c r="D25" s="29">
        <f>Nennliste!H27</f>
        <v>149</v>
      </c>
      <c r="E25" s="28"/>
    </row>
    <row r="26" ht="15.75" customHeight="1">
      <c r="A26" s="28" t="s">
        <v>219</v>
      </c>
      <c r="B26" s="28" t="str">
        <f>CONCATENATE(Data!J52," / ",Data!L52)</f>
        <v>EICHINGER / REISS</v>
      </c>
      <c r="C26" s="28">
        <v>25.0</v>
      </c>
      <c r="D26" s="29">
        <f>Nennliste!H28</f>
        <v>136</v>
      </c>
      <c r="E26" s="28"/>
    </row>
    <row r="27" ht="15.75" customHeight="1">
      <c r="A27" s="28" t="s">
        <v>219</v>
      </c>
      <c r="B27" s="28" t="str">
        <f>CONCATENATE(Data!J54," / ",Data!L54)</f>
        <v>TIWALD / ALTENRIEDERER</v>
      </c>
      <c r="C27" s="28">
        <v>26.0</v>
      </c>
      <c r="D27" s="29">
        <f>Nennliste!H29</f>
        <v>114</v>
      </c>
      <c r="E27" s="28"/>
    </row>
    <row r="28" ht="15.75" customHeight="1">
      <c r="A28" s="28" t="s">
        <v>219</v>
      </c>
      <c r="B28" s="28" t="str">
        <f>CONCATENATE(Data!J56," / ",Data!L56)</f>
        <v>MALICKI / FLORIÁN</v>
      </c>
      <c r="C28" s="28">
        <v>27.0</v>
      </c>
      <c r="D28" s="29">
        <f>Nennliste!H30</f>
        <v>113</v>
      </c>
      <c r="E28" s="28"/>
    </row>
    <row r="29" ht="15.75" customHeight="1">
      <c r="A29" s="28" t="s">
        <v>219</v>
      </c>
      <c r="B29" s="28" t="str">
        <f>CONCATENATE(Data!J58," / ",Data!L58)</f>
        <v>DESSEWFFY / ZABLOUDIL</v>
      </c>
      <c r="C29" s="28">
        <v>28.0</v>
      </c>
      <c r="D29" s="29">
        <f>Nennliste!H31</f>
        <v>110</v>
      </c>
      <c r="E29" s="28"/>
    </row>
    <row r="30" ht="15.75" customHeight="1">
      <c r="A30" s="28" t="s">
        <v>219</v>
      </c>
      <c r="B30" s="28" t="str">
        <f>CONCATENATE(Data!J60," / ",Data!L60)</f>
        <v>CHLUP / FREITTER</v>
      </c>
      <c r="C30" s="28">
        <v>29.0</v>
      </c>
      <c r="D30" s="29">
        <f>Nennliste!H32</f>
        <v>81</v>
      </c>
      <c r="E30" s="28"/>
    </row>
    <row r="31" ht="15.75" customHeight="1">
      <c r="A31" s="28" t="s">
        <v>219</v>
      </c>
      <c r="B31" s="28" t="str">
        <f>CONCATENATE(Data!J62," / ",Data!L62)</f>
        <v>WEISKIRCHNER / STEINMETZ</v>
      </c>
      <c r="C31" s="28">
        <v>30.0</v>
      </c>
      <c r="D31" s="29">
        <f>Nennliste!H33</f>
        <v>62</v>
      </c>
      <c r="E31" s="28"/>
    </row>
    <row r="32" ht="15.75" customHeight="1">
      <c r="A32" s="28" t="s">
        <v>219</v>
      </c>
      <c r="B32" s="28" t="str">
        <f>CONCATENATE(Data!J64," / ",Data!L64)</f>
        <v>HÖRL / RAUTER</v>
      </c>
      <c r="C32" s="28">
        <v>31.0</v>
      </c>
      <c r="D32" s="29">
        <f>Nennliste!H34</f>
        <v>55</v>
      </c>
      <c r="E32" s="28"/>
    </row>
    <row r="33" ht="15.75" customHeight="1">
      <c r="A33" s="28" t="s">
        <v>219</v>
      </c>
      <c r="B33" s="28" t="str">
        <f>CONCATENATE(Data!J66," / ",Data!L66)</f>
        <v>FLECHL / OELSCHLÄGEL</v>
      </c>
      <c r="C33" s="28">
        <v>32.0</v>
      </c>
      <c r="D33" s="29">
        <f>Nennliste!H35</f>
        <v>0</v>
      </c>
      <c r="E33" s="2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3">
    <sortState ref="A1:D33">
      <sortCondition ref="C1:C33"/>
    </sortState>
  </autoFilter>
  <conditionalFormatting sqref="E2:E33">
    <cfRule type="containsText" dxfId="0" priority="1" operator="containsText" text="Ja">
      <formula>NOT(ISERROR(SEARCH(("Ja"),(E2))))</formula>
    </cfRule>
  </conditionalFormatting>
  <printOptions/>
  <pageMargins bottom="0.787401575" footer="0.0" header="0.0" left="0.7" right="0.7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7.86"/>
    <col customWidth="1" min="3" max="3" width="31.0"/>
    <col customWidth="1" min="4" max="4" width="6.29"/>
    <col customWidth="1" min="5" max="5" width="38.71"/>
    <col customWidth="1" min="6" max="26" width="10.71"/>
  </cols>
  <sheetData>
    <row r="1">
      <c r="A1" s="31" t="s">
        <v>220</v>
      </c>
      <c r="B1" s="31" t="s">
        <v>214</v>
      </c>
      <c r="C1" s="31" t="s">
        <v>215</v>
      </c>
      <c r="D1" s="31" t="s">
        <v>221</v>
      </c>
      <c r="E1" s="31" t="s">
        <v>222</v>
      </c>
    </row>
    <row r="2">
      <c r="A2" s="31">
        <f>Import!C2</f>
        <v>1</v>
      </c>
      <c r="B2" s="31" t="str">
        <f>Import!A2</f>
        <v>AUT</v>
      </c>
      <c r="C2" s="31" t="str">
        <f>Import!B2</f>
        <v>CSEKÖ / TRAUTH</v>
      </c>
      <c r="D2" s="31" t="str">
        <f>IF(Import!E2="","",Import!E2)</f>
        <v/>
      </c>
      <c r="E2" s="32" t="str">
        <f t="shared" ref="E2:E33" si="1">"#"&amp;A2&amp;", "&amp;C2</f>
        <v>#1, CSEKÖ / TRAUTH</v>
      </c>
    </row>
    <row r="3">
      <c r="A3" s="31">
        <f>Import!C3</f>
        <v>2</v>
      </c>
      <c r="B3" s="31" t="str">
        <f>Import!A3</f>
        <v>AUT</v>
      </c>
      <c r="C3" s="31" t="str">
        <f>Import!B3</f>
        <v>FÜHRER / SEISER</v>
      </c>
      <c r="D3" s="31" t="str">
        <f>IF(Import!E3="","",Import!E3)</f>
        <v/>
      </c>
      <c r="E3" s="32" t="str">
        <f t="shared" si="1"/>
        <v>#2, FÜHRER / SEISER</v>
      </c>
    </row>
    <row r="4">
      <c r="A4" s="31">
        <f>Import!C4</f>
        <v>3</v>
      </c>
      <c r="B4" s="31" t="str">
        <f>Import!A4</f>
        <v>AUT</v>
      </c>
      <c r="C4" s="31" t="str">
        <f>Import!B4</f>
        <v>LAGZDIŅŠ / SPONER</v>
      </c>
      <c r="D4" s="31" t="str">
        <f>IF(Import!E4="","",Import!E4)</f>
        <v/>
      </c>
      <c r="E4" s="32" t="str">
        <f t="shared" si="1"/>
        <v>#3, LAGZDIŅŠ / SPONER</v>
      </c>
    </row>
    <row r="5">
      <c r="A5" s="31">
        <f>Import!C5</f>
        <v>4</v>
      </c>
      <c r="B5" s="31" t="str">
        <f>Import!A5</f>
        <v>AUT</v>
      </c>
      <c r="C5" s="31" t="str">
        <f>Import!B5</f>
        <v>LEITNER / EDER</v>
      </c>
      <c r="D5" s="31" t="str">
        <f>IF(Import!E5="","",Import!E5)</f>
        <v/>
      </c>
      <c r="E5" s="32" t="str">
        <f t="shared" si="1"/>
        <v>#4, LEITNER / EDER</v>
      </c>
    </row>
    <row r="6">
      <c r="A6" s="31">
        <f>Import!C6</f>
        <v>5</v>
      </c>
      <c r="B6" s="31" t="str">
        <f>Import!A6</f>
        <v>AUT</v>
      </c>
      <c r="C6" s="31" t="str">
        <f>Import!B6</f>
        <v>WESP / PFEIFFER</v>
      </c>
      <c r="D6" s="31" t="str">
        <f>IF(Import!E6="","",Import!E6)</f>
        <v/>
      </c>
      <c r="E6" s="32" t="str">
        <f t="shared" si="1"/>
        <v>#5, WESP / PFEIFFER</v>
      </c>
    </row>
    <row r="7">
      <c r="A7" s="31">
        <f>Import!C7</f>
        <v>6</v>
      </c>
      <c r="B7" s="31" t="str">
        <f>Import!A7</f>
        <v>AUT</v>
      </c>
      <c r="C7" s="31" t="str">
        <f>Import!B7</f>
        <v>CUBASCH / NEHULIAIEV</v>
      </c>
      <c r="D7" s="31" t="str">
        <f>IF(Import!E7="","",Import!E7)</f>
        <v/>
      </c>
      <c r="E7" s="32" t="str">
        <f t="shared" si="1"/>
        <v>#6, CUBASCH / NEHULIAIEV</v>
      </c>
    </row>
    <row r="8">
      <c r="A8" s="31">
        <f>Import!C8</f>
        <v>7</v>
      </c>
      <c r="B8" s="31" t="str">
        <f>Import!A8</f>
        <v>AUT</v>
      </c>
      <c r="C8" s="31" t="str">
        <f>Import!B8</f>
        <v>HOHENAUER / CARMANN</v>
      </c>
      <c r="D8" s="31" t="str">
        <f>IF(Import!E8="","",Import!E8)</f>
        <v/>
      </c>
      <c r="E8" s="32" t="str">
        <f t="shared" si="1"/>
        <v>#7, HOHENAUER / CARMANN</v>
      </c>
    </row>
    <row r="9">
      <c r="A9" s="31">
        <f>Import!C9</f>
        <v>8</v>
      </c>
      <c r="B9" s="31" t="str">
        <f>Import!A9</f>
        <v>AUT</v>
      </c>
      <c r="C9" s="31" t="str">
        <f>Import!B9</f>
        <v>SCHEUCHER / BAUER</v>
      </c>
      <c r="D9" s="31" t="str">
        <f>IF(Import!E9="","",Import!E9)</f>
        <v/>
      </c>
      <c r="E9" s="32" t="str">
        <f t="shared" si="1"/>
        <v>#8, SCHEUCHER / BAUER</v>
      </c>
    </row>
    <row r="10">
      <c r="A10" s="31">
        <f>Import!C10</f>
        <v>9</v>
      </c>
      <c r="B10" s="31" t="str">
        <f>Import!A10</f>
        <v>AUT</v>
      </c>
      <c r="C10" s="31" t="str">
        <f>Import!B10</f>
        <v>HARTEL / SANDNER</v>
      </c>
      <c r="D10" s="31" t="str">
        <f>IF(Import!E10="","",Import!E10)</f>
        <v/>
      </c>
      <c r="E10" s="32" t="str">
        <f t="shared" si="1"/>
        <v>#9, HARTEL / SANDNER</v>
      </c>
    </row>
    <row r="11">
      <c r="A11" s="31">
        <f>Import!C11</f>
        <v>10</v>
      </c>
      <c r="B11" s="31" t="str">
        <f>Import!A11</f>
        <v>AUT</v>
      </c>
      <c r="C11" s="31" t="str">
        <f>Import!B11</f>
        <v>JANOTTA / OFNER</v>
      </c>
      <c r="D11" s="31" t="str">
        <f>IF(Import!E11="","",Import!E11)</f>
        <v/>
      </c>
      <c r="E11" s="32" t="str">
        <f t="shared" si="1"/>
        <v>#10, JANOTTA / OFNER</v>
      </c>
    </row>
    <row r="12">
      <c r="A12" s="31">
        <f>Import!C12</f>
        <v>11</v>
      </c>
      <c r="B12" s="31" t="str">
        <f>Import!A12</f>
        <v>AUT</v>
      </c>
      <c r="C12" s="31" t="str">
        <f>Import!B12</f>
        <v>TKACHENKO / KURZMANN</v>
      </c>
      <c r="D12" s="31" t="str">
        <f>IF(Import!E12="","",Import!E12)</f>
        <v/>
      </c>
      <c r="E12" s="32" t="str">
        <f t="shared" si="1"/>
        <v>#11, TKACHENKO / KURZMANN</v>
      </c>
    </row>
    <row r="13">
      <c r="A13" s="31">
        <f>Import!C13</f>
        <v>12</v>
      </c>
      <c r="B13" s="31" t="str">
        <f>Import!A13</f>
        <v>AUT</v>
      </c>
      <c r="C13" s="31" t="str">
        <f>Import!B13</f>
        <v>ALBRECHT / HRADECSNI</v>
      </c>
      <c r="D13" s="31" t="str">
        <f>IF(Import!E13="","",Import!E13)</f>
        <v/>
      </c>
      <c r="E13" s="32" t="str">
        <f t="shared" si="1"/>
        <v>#12, ALBRECHT / HRADECSNI</v>
      </c>
    </row>
    <row r="14">
      <c r="A14" s="31">
        <f>Import!C14</f>
        <v>13</v>
      </c>
      <c r="B14" s="31" t="str">
        <f>Import!A14</f>
        <v>AUT</v>
      </c>
      <c r="C14" s="31" t="str">
        <f>Import!B14</f>
        <v>BARNABA / HOLEČEK</v>
      </c>
      <c r="D14" s="31" t="str">
        <f>IF(Import!E14="","",Import!E14)</f>
        <v/>
      </c>
      <c r="E14" s="32" t="str">
        <f t="shared" si="1"/>
        <v>#13, BARNABA / HOLEČEK</v>
      </c>
    </row>
    <row r="15">
      <c r="A15" s="31">
        <f>Import!C15</f>
        <v>14</v>
      </c>
      <c r="B15" s="31" t="str">
        <f>Import!A15</f>
        <v>AUT</v>
      </c>
      <c r="C15" s="31" t="str">
        <f>Import!B15</f>
        <v>MOROSINI / JOVANOVIĆ</v>
      </c>
      <c r="D15" s="31" t="str">
        <f>IF(Import!E15="","",Import!E15)</f>
        <v/>
      </c>
      <c r="E15" s="32" t="str">
        <f t="shared" si="1"/>
        <v>#14, MOROSINI / JOVANOVIĆ</v>
      </c>
    </row>
    <row r="16">
      <c r="A16" s="31">
        <f>Import!C16</f>
        <v>15</v>
      </c>
      <c r="B16" s="31" t="str">
        <f>Import!A16</f>
        <v>AUT</v>
      </c>
      <c r="C16" s="31" t="str">
        <f>Import!B16</f>
        <v>KLAFFINGER / ECKELBACHER</v>
      </c>
      <c r="D16" s="31" t="str">
        <f>IF(Import!E16="","",Import!E16)</f>
        <v/>
      </c>
      <c r="E16" s="32" t="str">
        <f t="shared" si="1"/>
        <v>#15, KLAFFINGER / ECKELBACHER</v>
      </c>
    </row>
    <row r="17">
      <c r="A17" s="31">
        <f>Import!C17</f>
        <v>16</v>
      </c>
      <c r="B17" s="31" t="str">
        <f>Import!A17</f>
        <v>AUT</v>
      </c>
      <c r="C17" s="31" t="str">
        <f>Import!B17</f>
        <v>ZECHA / GRÜNWERTH</v>
      </c>
      <c r="D17" s="31" t="str">
        <f>IF(Import!E17="","",Import!E17)</f>
        <v/>
      </c>
      <c r="E17" s="32" t="str">
        <f t="shared" si="1"/>
        <v>#16, ZECHA / GRÜNWERTH</v>
      </c>
    </row>
    <row r="18">
      <c r="A18" s="31">
        <f>Import!C18</f>
        <v>17</v>
      </c>
      <c r="B18" s="31" t="str">
        <f>Import!A18</f>
        <v>AUT</v>
      </c>
      <c r="C18" s="31" t="str">
        <f>Import!B18</f>
        <v>NOLL / WEIKERT</v>
      </c>
      <c r="D18" s="31" t="str">
        <f>IF(Import!E18="","",Import!E18)</f>
        <v/>
      </c>
      <c r="E18" s="32" t="str">
        <f t="shared" si="1"/>
        <v>#17, NOLL / WEIKERT</v>
      </c>
    </row>
    <row r="19">
      <c r="A19" s="31">
        <f>Import!C19</f>
        <v>18</v>
      </c>
      <c r="B19" s="31" t="str">
        <f>Import!A19</f>
        <v>AUT</v>
      </c>
      <c r="C19" s="31" t="str">
        <f>Import!B19</f>
        <v>KACZMARCZYK / GRAM</v>
      </c>
      <c r="D19" s="31" t="str">
        <f>IF(Import!E19="","",Import!E19)</f>
        <v/>
      </c>
      <c r="E19" s="32" t="str">
        <f t="shared" si="1"/>
        <v>#18, KACZMARCZYK / GRAM</v>
      </c>
    </row>
    <row r="20">
      <c r="A20" s="31">
        <f>Import!C20</f>
        <v>19</v>
      </c>
      <c r="B20" s="31" t="str">
        <f>Import!A20</f>
        <v>AUT</v>
      </c>
      <c r="C20" s="31" t="str">
        <f>Import!B20</f>
        <v>SUN / LAKOMY</v>
      </c>
      <c r="D20" s="31" t="str">
        <f>IF(Import!E20="","",Import!E20)</f>
        <v/>
      </c>
      <c r="E20" s="32" t="str">
        <f t="shared" si="1"/>
        <v>#19, SUN / LAKOMY</v>
      </c>
    </row>
    <row r="21" ht="15.75" customHeight="1">
      <c r="A21" s="31">
        <f>Import!C21</f>
        <v>20</v>
      </c>
      <c r="B21" s="31" t="str">
        <f>Import!A21</f>
        <v>AUT</v>
      </c>
      <c r="C21" s="31" t="str">
        <f>Import!B21</f>
        <v>HOFBAUER / BOHACEK</v>
      </c>
      <c r="D21" s="31" t="str">
        <f>IF(Import!E21="","",Import!E21)</f>
        <v/>
      </c>
      <c r="E21" s="32" t="str">
        <f t="shared" si="1"/>
        <v>#20, HOFBAUER / BOHACEK</v>
      </c>
    </row>
    <row r="22" ht="15.75" customHeight="1">
      <c r="A22" s="31">
        <f>Import!C22</f>
        <v>21</v>
      </c>
      <c r="B22" s="31" t="str">
        <f>Import!A22</f>
        <v>AUT</v>
      </c>
      <c r="C22" s="31" t="str">
        <f>Import!B22</f>
        <v>JOBST / GAPPNIG</v>
      </c>
      <c r="D22" s="31" t="str">
        <f>IF(Import!E22="","",Import!E22)</f>
        <v/>
      </c>
      <c r="E22" s="32" t="str">
        <f t="shared" si="1"/>
        <v>#21, JOBST / GAPPNIG</v>
      </c>
    </row>
    <row r="23" ht="15.75" customHeight="1">
      <c r="A23" s="31">
        <f>Import!C23</f>
        <v>22</v>
      </c>
      <c r="B23" s="31" t="str">
        <f>Import!A23</f>
        <v>AUT</v>
      </c>
      <c r="C23" s="31" t="str">
        <f>Import!B23</f>
        <v>SCHEBELLA / GRAF</v>
      </c>
      <c r="D23" s="31" t="str">
        <f>IF(Import!E23="","",Import!E23)</f>
        <v/>
      </c>
      <c r="E23" s="32" t="str">
        <f t="shared" si="1"/>
        <v>#22, SCHEBELLA / GRAF</v>
      </c>
    </row>
    <row r="24" ht="15.75" customHeight="1">
      <c r="A24" s="31">
        <f>Import!C24</f>
        <v>23</v>
      </c>
      <c r="B24" s="31" t="str">
        <f>Import!A24</f>
        <v>AUT</v>
      </c>
      <c r="C24" s="31" t="str">
        <f>Import!B24</f>
        <v>LANGER / SAFTIUK</v>
      </c>
      <c r="D24" s="31" t="str">
        <f>IF(Import!E24="","",Import!E24)</f>
        <v/>
      </c>
      <c r="E24" s="32" t="str">
        <f t="shared" si="1"/>
        <v>#23, LANGER / SAFTIUK</v>
      </c>
    </row>
    <row r="25" ht="15.75" customHeight="1">
      <c r="A25" s="31">
        <f>Import!C25</f>
        <v>24</v>
      </c>
      <c r="B25" s="31" t="str">
        <f>Import!A25</f>
        <v>AUT</v>
      </c>
      <c r="C25" s="31" t="str">
        <f>Import!B25</f>
        <v>LEPIC / VUKOVIC</v>
      </c>
      <c r="D25" s="31" t="str">
        <f>IF(Import!E25="","",Import!E25)</f>
        <v/>
      </c>
      <c r="E25" s="32" t="str">
        <f t="shared" si="1"/>
        <v>#24, LEPIC / VUKOVIC</v>
      </c>
    </row>
    <row r="26" ht="15.75" customHeight="1">
      <c r="A26" s="31">
        <f>Import!C26</f>
        <v>25</v>
      </c>
      <c r="B26" s="31" t="str">
        <f>Import!A26</f>
        <v>AUT</v>
      </c>
      <c r="C26" s="31" t="str">
        <f>Import!B26</f>
        <v>EICHINGER / REISS</v>
      </c>
      <c r="D26" s="31" t="str">
        <f>IF(Import!E26="","",Import!E26)</f>
        <v/>
      </c>
      <c r="E26" s="32" t="str">
        <f t="shared" si="1"/>
        <v>#25, EICHINGER / REISS</v>
      </c>
    </row>
    <row r="27" ht="15.75" customHeight="1">
      <c r="A27" s="31">
        <f>Import!C27</f>
        <v>26</v>
      </c>
      <c r="B27" s="31" t="str">
        <f>Import!A27</f>
        <v>AUT</v>
      </c>
      <c r="C27" s="31" t="str">
        <f>Import!B27</f>
        <v>TIWALD / ALTENRIEDERER</v>
      </c>
      <c r="D27" s="31" t="str">
        <f>IF(Import!E27="","",Import!E27)</f>
        <v/>
      </c>
      <c r="E27" s="32" t="str">
        <f t="shared" si="1"/>
        <v>#26, TIWALD / ALTENRIEDERER</v>
      </c>
    </row>
    <row r="28" ht="15.75" customHeight="1">
      <c r="A28" s="31">
        <f>Import!C28</f>
        <v>27</v>
      </c>
      <c r="B28" s="31" t="str">
        <f>Import!A28</f>
        <v>AUT</v>
      </c>
      <c r="C28" s="31" t="str">
        <f>Import!B28</f>
        <v>MALICKI / FLORIÁN</v>
      </c>
      <c r="D28" s="31" t="str">
        <f>IF(Import!E28="","",Import!E28)</f>
        <v/>
      </c>
      <c r="E28" s="32" t="str">
        <f t="shared" si="1"/>
        <v>#27, MALICKI / FLORIÁN</v>
      </c>
    </row>
    <row r="29" ht="15.75" customHeight="1">
      <c r="A29" s="31">
        <f>Import!C29</f>
        <v>28</v>
      </c>
      <c r="B29" s="31" t="str">
        <f>Import!A29</f>
        <v>AUT</v>
      </c>
      <c r="C29" s="31" t="str">
        <f>Import!B29</f>
        <v>DESSEWFFY / ZABLOUDIL</v>
      </c>
      <c r="D29" s="31" t="str">
        <f>IF(Import!E29="","",Import!E29)</f>
        <v/>
      </c>
      <c r="E29" s="32" t="str">
        <f t="shared" si="1"/>
        <v>#28, DESSEWFFY / ZABLOUDIL</v>
      </c>
    </row>
    <row r="30" ht="15.75" customHeight="1">
      <c r="A30" s="31">
        <f>Import!C30</f>
        <v>29</v>
      </c>
      <c r="B30" s="31" t="str">
        <f>Import!A30</f>
        <v>AUT</v>
      </c>
      <c r="C30" s="31" t="str">
        <f>Import!B30</f>
        <v>CHLUP / FREITTER</v>
      </c>
      <c r="D30" s="31" t="str">
        <f>IF(Import!E30="","",Import!E30)</f>
        <v/>
      </c>
      <c r="E30" s="32" t="str">
        <f t="shared" si="1"/>
        <v>#29, CHLUP / FREITTER</v>
      </c>
    </row>
    <row r="31" ht="15.75" customHeight="1">
      <c r="A31" s="31">
        <f>Import!C31</f>
        <v>30</v>
      </c>
      <c r="B31" s="31" t="str">
        <f>Import!A31</f>
        <v>AUT</v>
      </c>
      <c r="C31" s="31" t="str">
        <f>Import!B31</f>
        <v>WEISKIRCHNER / STEINMETZ</v>
      </c>
      <c r="D31" s="31" t="str">
        <f>IF(Import!E31="","",Import!E31)</f>
        <v/>
      </c>
      <c r="E31" s="32" t="str">
        <f t="shared" si="1"/>
        <v>#30, WEISKIRCHNER / STEINMETZ</v>
      </c>
    </row>
    <row r="32" ht="15.75" customHeight="1">
      <c r="A32" s="31">
        <f>Import!C32</f>
        <v>31</v>
      </c>
      <c r="B32" s="31" t="str">
        <f>Import!A32</f>
        <v>AUT</v>
      </c>
      <c r="C32" s="31" t="str">
        <f>Import!B32</f>
        <v>HÖRL / RAUTER</v>
      </c>
      <c r="D32" s="31" t="str">
        <f>IF(Import!E32="","",Import!E32)</f>
        <v/>
      </c>
      <c r="E32" s="32" t="str">
        <f t="shared" si="1"/>
        <v>#31, HÖRL / RAUTER</v>
      </c>
    </row>
    <row r="33" ht="15.75" customHeight="1">
      <c r="A33" s="31">
        <f>Import!C33</f>
        <v>32</v>
      </c>
      <c r="B33" s="31" t="str">
        <f>Import!A33</f>
        <v>AUT</v>
      </c>
      <c r="C33" s="31" t="str">
        <f>Import!B33</f>
        <v>FLECHL / OELSCHLÄGEL</v>
      </c>
      <c r="D33" s="31" t="str">
        <f>IF(Import!E33="","",Import!E33)</f>
        <v/>
      </c>
      <c r="E33" s="32" t="str">
        <f t="shared" si="1"/>
        <v>#32, FLECHL / OELSCHLÄGEL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8.71"/>
    <col customWidth="1" min="5" max="5" width="35.29"/>
    <col customWidth="1" min="6" max="8" width="32.14"/>
    <col customWidth="1" min="9" max="26" width="10.71"/>
  </cols>
  <sheetData>
    <row r="1" hidden="1">
      <c r="A1" s="31">
        <v>1.0</v>
      </c>
      <c r="B1" s="31">
        <v>2.0</v>
      </c>
      <c r="C1" s="31">
        <v>3.0</v>
      </c>
      <c r="D1" s="31">
        <v>4.0</v>
      </c>
      <c r="E1" s="31">
        <v>5.0</v>
      </c>
      <c r="F1" s="31">
        <v>6.0</v>
      </c>
      <c r="G1" s="31">
        <v>7.0</v>
      </c>
      <c r="H1" s="31">
        <v>8.0</v>
      </c>
    </row>
    <row r="2" hidden="1">
      <c r="A2" s="31">
        <v>16.0</v>
      </c>
      <c r="B2" s="31">
        <v>15.0</v>
      </c>
      <c r="C2" s="31">
        <v>14.0</v>
      </c>
      <c r="D2" s="31">
        <v>13.0</v>
      </c>
      <c r="E2" s="31">
        <v>12.0</v>
      </c>
      <c r="F2" s="31">
        <v>11.0</v>
      </c>
      <c r="G2" s="31">
        <v>10.0</v>
      </c>
      <c r="H2" s="31">
        <v>9.0</v>
      </c>
    </row>
    <row r="3" hidden="1">
      <c r="A3" s="31">
        <v>17.0</v>
      </c>
      <c r="B3" s="31">
        <v>18.0</v>
      </c>
      <c r="C3" s="31">
        <v>19.0</v>
      </c>
      <c r="D3" s="31">
        <v>20.0</v>
      </c>
      <c r="E3" s="33">
        <v>21.0</v>
      </c>
      <c r="F3" s="31">
        <v>22.0</v>
      </c>
      <c r="G3" s="31">
        <v>23.0</v>
      </c>
      <c r="H3" s="31">
        <v>24.0</v>
      </c>
    </row>
    <row r="4" hidden="1">
      <c r="A4" s="31">
        <v>32.0</v>
      </c>
      <c r="B4" s="31">
        <v>31.0</v>
      </c>
      <c r="C4" s="31">
        <v>30.0</v>
      </c>
      <c r="D4" s="31">
        <v>29.0</v>
      </c>
      <c r="E4" s="31">
        <v>28.0</v>
      </c>
      <c r="F4" s="31">
        <v>27.0</v>
      </c>
      <c r="G4" s="31">
        <v>26.0</v>
      </c>
      <c r="H4" s="31">
        <v>25.0</v>
      </c>
    </row>
    <row r="5">
      <c r="A5" s="34" t="s">
        <v>223</v>
      </c>
      <c r="B5" s="35" t="s">
        <v>224</v>
      </c>
      <c r="C5" s="36" t="s">
        <v>225</v>
      </c>
      <c r="D5" s="37" t="s">
        <v>226</v>
      </c>
      <c r="E5" s="38" t="s">
        <v>227</v>
      </c>
      <c r="F5" s="39" t="s">
        <v>228</v>
      </c>
      <c r="G5" s="40" t="s">
        <v>229</v>
      </c>
      <c r="H5" s="41" t="s">
        <v>230</v>
      </c>
    </row>
    <row r="6">
      <c r="A6" s="42" t="str">
        <f>VLOOKUP(A1,Seeding!$A$2:$E$33,5,FALSE)</f>
        <v>#1, CSEKÖ / TRAUTH</v>
      </c>
      <c r="B6" s="43" t="str">
        <f>VLOOKUP(B1,Seeding!$A$2:$E$33,5,FALSE)</f>
        <v>#2, FÜHRER / SEISER</v>
      </c>
      <c r="C6" s="29" t="str">
        <f>VLOOKUP(C1,Seeding!$A$2:$E$33,5,FALSE)</f>
        <v>#3, LAGZDIŅŠ / SPONER</v>
      </c>
      <c r="D6" s="44" t="str">
        <f>VLOOKUP(D1,Seeding!$A$2:$E$33,5,FALSE)</f>
        <v>#4, LEITNER / EDER</v>
      </c>
      <c r="E6" s="45" t="str">
        <f>VLOOKUP(E1,Seeding!$A$2:$E$33,5,FALSE)</f>
        <v>#5, WESP / PFEIFFER</v>
      </c>
      <c r="F6" s="46" t="str">
        <f>VLOOKUP(F1,Seeding!$A$2:$E$33,5,FALSE)</f>
        <v>#6, CUBASCH / NEHULIAIEV</v>
      </c>
      <c r="G6" s="47" t="str">
        <f>VLOOKUP(G1,Seeding!$A$2:$E$33,5,FALSE)</f>
        <v>#7, HOHENAUER / CARMANN</v>
      </c>
      <c r="H6" s="48" t="str">
        <f>VLOOKUP(H1,Seeding!$A$2:$E$33,5,FALSE)</f>
        <v>#8, SCHEUCHER / BAUER</v>
      </c>
    </row>
    <row r="7">
      <c r="A7" s="42" t="str">
        <f>VLOOKUP(A2,Seeding!$A$2:$E$33,5,FALSE)</f>
        <v>#16, ZECHA / GRÜNWERTH</v>
      </c>
      <c r="B7" s="43" t="str">
        <f>VLOOKUP(B2,Seeding!$A$2:$E$33,5,FALSE)</f>
        <v>#15, KLAFFINGER / ECKELBACHER</v>
      </c>
      <c r="C7" s="29" t="str">
        <f>VLOOKUP(C2,Seeding!$A$2:$E$33,5,FALSE)</f>
        <v>#14, MOROSINI / JOVANOVIĆ</v>
      </c>
      <c r="D7" s="44" t="str">
        <f>VLOOKUP(D2,Seeding!$A$2:$E$33,5,FALSE)</f>
        <v>#13, BARNABA / HOLEČEK</v>
      </c>
      <c r="E7" s="45" t="str">
        <f>VLOOKUP(E2,Seeding!$A$2:$E$33,5,FALSE)</f>
        <v>#12, ALBRECHT / HRADECSNI</v>
      </c>
      <c r="F7" s="46" t="str">
        <f>VLOOKUP(F2,Seeding!$A$2:$E$33,5,FALSE)</f>
        <v>#11, TKACHENKO / KURZMANN</v>
      </c>
      <c r="G7" s="47" t="str">
        <f>VLOOKUP(G2,Seeding!$A$2:$E$33,5,FALSE)</f>
        <v>#10, JANOTTA / OFNER</v>
      </c>
      <c r="H7" s="48" t="str">
        <f>VLOOKUP(H2,Seeding!$A$2:$E$33,5,FALSE)</f>
        <v>#9, HARTEL / SANDNER</v>
      </c>
    </row>
    <row r="8">
      <c r="A8" s="42" t="str">
        <f>VLOOKUP(A3,Seeding!$A$2:$E$33,5,FALSE)</f>
        <v>#17, NOLL / WEIKERT</v>
      </c>
      <c r="B8" s="43" t="str">
        <f>VLOOKUP(B3,Seeding!$A$2:$E$33,5,FALSE)</f>
        <v>#18, KACZMARCZYK / GRAM</v>
      </c>
      <c r="C8" s="29" t="str">
        <f>VLOOKUP(C3,Seeding!$A$2:$E$33,5,FALSE)</f>
        <v>#19, SUN / LAKOMY</v>
      </c>
      <c r="D8" s="44" t="str">
        <f>VLOOKUP(D3,Seeding!$A$2:$E$33,5,FALSE)</f>
        <v>#20, HOFBAUER / BOHACEK</v>
      </c>
      <c r="E8" s="45" t="str">
        <f>VLOOKUP(E3,Seeding!$A$2:$E$33,5,FALSE)</f>
        <v>#21, JOBST / GAPPNIG</v>
      </c>
      <c r="F8" s="46" t="str">
        <f>VLOOKUP(F3,Seeding!$A$2:$E$33,5,FALSE)</f>
        <v>#22, SCHEBELLA / GRAF</v>
      </c>
      <c r="G8" s="47" t="str">
        <f>VLOOKUP(G3,Seeding!$A$2:$E$33,5,FALSE)</f>
        <v>#23, LANGER / SAFTIUK</v>
      </c>
      <c r="H8" s="48" t="str">
        <f>VLOOKUP(H3,Seeding!$A$2:$E$33,5,FALSE)</f>
        <v>#24, LEPIC / VUKOVIC</v>
      </c>
    </row>
    <row r="9">
      <c r="A9" s="42" t="str">
        <f>VLOOKUP(A4,Seeding!$A$2:$E$33,5,FALSE)</f>
        <v>#32, FLECHL / OELSCHLÄGEL</v>
      </c>
      <c r="B9" s="43" t="str">
        <f>VLOOKUP(B4,Seeding!$A$2:$E$33,5,FALSE)</f>
        <v>#31, HÖRL / RAUTER</v>
      </c>
      <c r="C9" s="29" t="str">
        <f>VLOOKUP(C4,Seeding!$A$2:$E$33,5,FALSE)</f>
        <v>#30, WEISKIRCHNER / STEINMETZ</v>
      </c>
      <c r="D9" s="44" t="str">
        <f>VLOOKUP(D4,Seeding!$A$2:$E$33,5,FALSE)</f>
        <v>#29, CHLUP / FREITTER</v>
      </c>
      <c r="E9" s="45" t="str">
        <f>VLOOKUP(E4,Seeding!$A$2:$E$33,5,FALSE)</f>
        <v>#28, DESSEWFFY / ZABLOUDIL</v>
      </c>
      <c r="F9" s="46" t="str">
        <f>VLOOKUP(F4,Seeding!$A$2:$E$33,5,FALSE)</f>
        <v>#27, MALICKI / FLORIÁN</v>
      </c>
      <c r="G9" s="47" t="str">
        <f>VLOOKUP(G4,Seeding!$A$2:$E$33,5,FALSE)</f>
        <v>#26, TIWALD / ALTENRIEDERER</v>
      </c>
      <c r="H9" s="48" t="str">
        <f>VLOOKUP(H4,Seeding!$A$2:$E$33,5,FALSE)</f>
        <v>#25, EICHINGER / REISS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4.14"/>
    <col customWidth="1" min="2" max="2" width="10.71"/>
    <col customWidth="1" min="3" max="3" width="38.71"/>
    <col customWidth="1" min="4" max="4" width="14.43"/>
    <col customWidth="1" min="5" max="5" width="10.14"/>
    <col customWidth="1" min="6" max="8" width="10.71"/>
    <col customWidth="1" min="9" max="9" width="30.71"/>
    <col customWidth="1" min="10" max="10" width="15.14"/>
    <col customWidth="1" min="11" max="11" width="13.57"/>
    <col customWidth="1" hidden="1" min="12" max="12" width="33.57"/>
    <col customWidth="1" hidden="1" min="13" max="13" width="38.71"/>
    <col customWidth="1" hidden="1" min="14" max="17" width="10.71"/>
    <col customWidth="1" min="18" max="26" width="10.71"/>
  </cols>
  <sheetData>
    <row r="1" ht="11.25" customHeight="1">
      <c r="A1" s="49" t="s">
        <v>231</v>
      </c>
      <c r="B1" s="49" t="s">
        <v>232</v>
      </c>
      <c r="C1" s="49" t="s">
        <v>233</v>
      </c>
      <c r="D1" s="49" t="s">
        <v>234</v>
      </c>
      <c r="E1" s="49" t="s">
        <v>235</v>
      </c>
      <c r="F1" s="49" t="s">
        <v>236</v>
      </c>
      <c r="G1" s="49" t="s">
        <v>237</v>
      </c>
      <c r="H1" s="49" t="s">
        <v>238</v>
      </c>
      <c r="I1" s="49" t="s">
        <v>239</v>
      </c>
      <c r="J1" s="49" t="s">
        <v>240</v>
      </c>
      <c r="K1" s="49" t="s">
        <v>241</v>
      </c>
      <c r="L1" s="49" t="s">
        <v>242</v>
      </c>
      <c r="M1" s="49" t="s">
        <v>243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11.25" customHeight="1">
      <c r="A2" s="50">
        <v>1.0</v>
      </c>
      <c r="B2" s="50" t="str">
        <f>Pools!A5</f>
        <v>Pool A</v>
      </c>
      <c r="C2" s="50" t="str">
        <f>Pools!A6</f>
        <v>#1, CSEKÖ / TRAUTH</v>
      </c>
      <c r="D2" s="51">
        <f>IF(ISBLANK(E2),"",IF(E2&gt;E3,1,0) + IF(F2&gt;F3,1,0) + IF(G2&gt;G3,1,0))</f>
        <v>2</v>
      </c>
      <c r="E2" s="52">
        <v>15.0</v>
      </c>
      <c r="F2" s="52">
        <v>15.0</v>
      </c>
      <c r="G2" s="51"/>
      <c r="H2" s="52" t="s">
        <v>244</v>
      </c>
      <c r="I2" s="51" t="str">
        <f>C19</f>
        <v>#28, DESSEWFFY / ZABLOUDIL</v>
      </c>
      <c r="J2" s="53">
        <v>0.375</v>
      </c>
      <c r="K2" s="54"/>
      <c r="L2" s="49" t="str">
        <f>IF(D2="","Winner Pool A #1",IF(D2=2,C2,C3))</f>
        <v>#1, CSEKÖ / TRAUTH</v>
      </c>
      <c r="M2" s="49" t="str">
        <f>IF(D2="","Loser Pool A #1",IF(D2&lt;2,C2,C3))</f>
        <v>#32, FLECHL / OELSCHLÄGEL</v>
      </c>
      <c r="N2" s="55">
        <f t="shared" ref="N2:Q2" si="1">D3</f>
        <v>0</v>
      </c>
      <c r="O2" s="55">
        <f t="shared" si="1"/>
        <v>5</v>
      </c>
      <c r="P2" s="55">
        <f t="shared" si="1"/>
        <v>8</v>
      </c>
      <c r="Q2" s="55" t="str">
        <f t="shared" si="1"/>
        <v/>
      </c>
      <c r="R2" s="49"/>
      <c r="S2" s="56" t="s">
        <v>245</v>
      </c>
      <c r="T2" s="49"/>
      <c r="U2" s="49"/>
      <c r="V2" s="49"/>
      <c r="W2" s="49"/>
      <c r="X2" s="49"/>
      <c r="Y2" s="49"/>
      <c r="Z2" s="49"/>
    </row>
    <row r="3" ht="11.25" customHeight="1">
      <c r="A3" s="50"/>
      <c r="B3" s="50"/>
      <c r="C3" s="50" t="str">
        <f>Pools!A9</f>
        <v>#32, FLECHL / OELSCHLÄGEL</v>
      </c>
      <c r="D3" s="51">
        <f>IF(ISBLANK(E2),"",IF(E2&lt;E3,1,0) + IF(F2&lt;F3,1,0) + IF(G2&lt;G3,1,0))</f>
        <v>0</v>
      </c>
      <c r="E3" s="52">
        <v>5.0</v>
      </c>
      <c r="F3" s="52">
        <v>8.0</v>
      </c>
      <c r="G3" s="51"/>
      <c r="H3" s="52"/>
      <c r="I3" s="51"/>
      <c r="J3" s="57"/>
      <c r="K3" s="54"/>
      <c r="L3" s="49"/>
      <c r="M3" s="49"/>
      <c r="N3" s="55">
        <f t="shared" ref="N3:Q3" si="2">D2</f>
        <v>2</v>
      </c>
      <c r="O3" s="55">
        <f t="shared" si="2"/>
        <v>15</v>
      </c>
      <c r="P3" s="55">
        <f t="shared" si="2"/>
        <v>15</v>
      </c>
      <c r="Q3" s="55" t="str">
        <f t="shared" si="2"/>
        <v/>
      </c>
      <c r="R3" s="49"/>
      <c r="S3" s="49"/>
      <c r="T3" s="49"/>
      <c r="U3" s="49"/>
      <c r="V3" s="49"/>
      <c r="W3" s="49"/>
      <c r="X3" s="49"/>
      <c r="Y3" s="49"/>
      <c r="Z3" s="49"/>
    </row>
    <row r="4" ht="11.25" customHeight="1">
      <c r="A4" s="50">
        <v>2.0</v>
      </c>
      <c r="B4" s="50" t="str">
        <f>Pools!A5</f>
        <v>Pool A</v>
      </c>
      <c r="C4" s="50" t="str">
        <f>Pools!A7</f>
        <v>#16, ZECHA / GRÜNWERTH</v>
      </c>
      <c r="D4" s="51">
        <f>IF(ISBLANK(E4),"",IF(E4&gt;E5,1,0) + IF(F4&gt;F5,1,0) + IF(G4&gt;G5,1,0))</f>
        <v>1</v>
      </c>
      <c r="E4" s="52">
        <v>12.0</v>
      </c>
      <c r="F4" s="52">
        <v>15.0</v>
      </c>
      <c r="G4" s="52">
        <v>13.0</v>
      </c>
      <c r="H4" s="52" t="s">
        <v>246</v>
      </c>
      <c r="I4" s="51" t="str">
        <f>C20</f>
        <v>#12, ALBRECHT / HRADECSNI</v>
      </c>
      <c r="J4" s="53">
        <v>0.375</v>
      </c>
      <c r="K4" s="54"/>
      <c r="L4" s="49" t="str">
        <f>IF(D4="","Winner Pool A #2",IF(D4=2,C4,C5))</f>
        <v>#17, NOLL / WEIKERT</v>
      </c>
      <c r="M4" s="49" t="str">
        <f>IF(D4="","Loser Pool A #2",IF(D4&lt;2,C4,C5))</f>
        <v>#16, ZECHA / GRÜNWERTH</v>
      </c>
      <c r="N4" s="55">
        <f t="shared" ref="N4:Q4" si="3">D5</f>
        <v>2</v>
      </c>
      <c r="O4" s="55">
        <f t="shared" si="3"/>
        <v>15</v>
      </c>
      <c r="P4" s="55">
        <f t="shared" si="3"/>
        <v>13</v>
      </c>
      <c r="Q4" s="55">
        <f t="shared" si="3"/>
        <v>15</v>
      </c>
      <c r="R4" s="49"/>
      <c r="S4" s="49"/>
      <c r="T4" s="49"/>
      <c r="U4" s="49"/>
      <c r="V4" s="49"/>
      <c r="W4" s="49"/>
      <c r="X4" s="49"/>
      <c r="Y4" s="49"/>
      <c r="Z4" s="49"/>
    </row>
    <row r="5" ht="11.25" customHeight="1">
      <c r="A5" s="50"/>
      <c r="B5" s="50"/>
      <c r="C5" s="50" t="str">
        <f>Pools!A8</f>
        <v>#17, NOLL / WEIKERT</v>
      </c>
      <c r="D5" s="51">
        <f>IF(ISBLANK(E4),"",IF(E4&lt;E5,1,0) + IF(F4&lt;F5,1,0) + IF(G4&lt;G5,1,0))</f>
        <v>2</v>
      </c>
      <c r="E5" s="52">
        <v>15.0</v>
      </c>
      <c r="F5" s="52">
        <v>13.0</v>
      </c>
      <c r="G5" s="52">
        <v>15.0</v>
      </c>
      <c r="H5" s="52"/>
      <c r="I5" s="51"/>
      <c r="J5" s="57"/>
      <c r="K5" s="54"/>
      <c r="L5" s="49"/>
      <c r="M5" s="49"/>
      <c r="N5" s="55">
        <f t="shared" ref="N5:Q5" si="4">D4</f>
        <v>1</v>
      </c>
      <c r="O5" s="55">
        <f t="shared" si="4"/>
        <v>12</v>
      </c>
      <c r="P5" s="55">
        <f t="shared" si="4"/>
        <v>15</v>
      </c>
      <c r="Q5" s="55">
        <f t="shared" si="4"/>
        <v>13</v>
      </c>
      <c r="R5" s="49"/>
      <c r="S5" s="49"/>
      <c r="T5" s="49"/>
      <c r="U5" s="49"/>
      <c r="V5" s="49"/>
      <c r="W5" s="49"/>
      <c r="X5" s="49"/>
      <c r="Y5" s="49"/>
      <c r="Z5" s="49"/>
    </row>
    <row r="6" ht="11.25" customHeight="1">
      <c r="A6" s="58">
        <v>3.0</v>
      </c>
      <c r="B6" s="58" t="str">
        <f>Pools!B5</f>
        <v>Pool B</v>
      </c>
      <c r="C6" s="58" t="str">
        <f>Pools!B6</f>
        <v>#2, FÜHRER / SEISER</v>
      </c>
      <c r="D6" s="51">
        <f>IF(ISBLANK(E6),"",IF(E6&gt;E7,1,0) + IF(F6&gt;F7,1,0) + IF(G6&gt;G7,1,0))</f>
        <v>2</v>
      </c>
      <c r="E6" s="52">
        <v>15.0</v>
      </c>
      <c r="F6" s="52">
        <v>15.0</v>
      </c>
      <c r="G6" s="51"/>
      <c r="H6" s="52" t="s">
        <v>247</v>
      </c>
      <c r="I6" s="51" t="str">
        <f>C23</f>
        <v>#27, MALICKI / FLORIÁN</v>
      </c>
      <c r="J6" s="53">
        <v>0.375</v>
      </c>
      <c r="K6" s="54"/>
      <c r="L6" s="49" t="str">
        <f>IF(D6="","Winner Pool B #1",IF(D6=2,C6,C7))</f>
        <v>#2, FÜHRER / SEISER</v>
      </c>
      <c r="M6" s="49" t="str">
        <f>IF(D6="","Loser Pool B #1",IF(D6&lt;2,C6,C7))</f>
        <v>#31, HÖRL / RAUTER</v>
      </c>
      <c r="N6" s="55">
        <f t="shared" ref="N6:Q6" si="5">D7</f>
        <v>0</v>
      </c>
      <c r="O6" s="55">
        <f t="shared" si="5"/>
        <v>11</v>
      </c>
      <c r="P6" s="55">
        <f t="shared" si="5"/>
        <v>13</v>
      </c>
      <c r="Q6" s="55" t="str">
        <f t="shared" si="5"/>
        <v/>
      </c>
      <c r="R6" s="49"/>
      <c r="S6" s="49"/>
      <c r="T6" s="49"/>
      <c r="U6" s="49"/>
      <c r="V6" s="49"/>
      <c r="W6" s="49"/>
      <c r="X6" s="49"/>
      <c r="Y6" s="49"/>
      <c r="Z6" s="49"/>
    </row>
    <row r="7" ht="11.25" customHeight="1">
      <c r="A7" s="58"/>
      <c r="B7" s="58"/>
      <c r="C7" s="58" t="str">
        <f>Pools!B9</f>
        <v>#31, HÖRL / RAUTER</v>
      </c>
      <c r="D7" s="51">
        <f>IF(ISBLANK(E6),"",IF(E6&lt;E7,1,0) + IF(F6&lt;F7,1,0) + IF(G6&lt;G7,1,0))</f>
        <v>0</v>
      </c>
      <c r="E7" s="52">
        <v>11.0</v>
      </c>
      <c r="F7" s="52">
        <v>13.0</v>
      </c>
      <c r="G7" s="51"/>
      <c r="H7" s="51"/>
      <c r="I7" s="51"/>
      <c r="J7" s="57"/>
      <c r="K7" s="54"/>
      <c r="L7" s="49"/>
      <c r="M7" s="49"/>
      <c r="N7" s="55">
        <f t="shared" ref="N7:Q7" si="6">D6</f>
        <v>2</v>
      </c>
      <c r="O7" s="55">
        <f t="shared" si="6"/>
        <v>15</v>
      </c>
      <c r="P7" s="55">
        <f t="shared" si="6"/>
        <v>15</v>
      </c>
      <c r="Q7" s="55" t="str">
        <f t="shared" si="6"/>
        <v/>
      </c>
      <c r="R7" s="49"/>
      <c r="S7" s="49"/>
      <c r="T7" s="49"/>
      <c r="U7" s="49"/>
      <c r="V7" s="49"/>
      <c r="W7" s="49"/>
      <c r="X7" s="49"/>
      <c r="Y7" s="49"/>
      <c r="Z7" s="49"/>
    </row>
    <row r="8" ht="11.25" customHeight="1">
      <c r="A8" s="58">
        <v>4.0</v>
      </c>
      <c r="B8" s="58" t="str">
        <f>Pools!B5</f>
        <v>Pool B</v>
      </c>
      <c r="C8" s="58" t="str">
        <f>Pools!B7</f>
        <v>#15, KLAFFINGER / ECKELBACHER</v>
      </c>
      <c r="D8" s="51">
        <f>IF(ISBLANK(E8),"",IF(E8&gt;E9,1,0) + IF(F8&gt;F9,1,0) + IF(G8&gt;G9,1,0))</f>
        <v>2</v>
      </c>
      <c r="E8" s="52">
        <v>17.0</v>
      </c>
      <c r="F8" s="52">
        <v>15.0</v>
      </c>
      <c r="G8" s="51"/>
      <c r="H8" s="52" t="s">
        <v>248</v>
      </c>
      <c r="I8" s="51" t="str">
        <f>C25</f>
        <v>#22, SCHEBELLA / GRAF</v>
      </c>
      <c r="J8" s="53">
        <v>0.375</v>
      </c>
      <c r="K8" s="54"/>
      <c r="L8" s="49" t="str">
        <f>IF(D8="","Winner Pool B #2",IF(D8=2,C8,C9))</f>
        <v>#15, KLAFFINGER / ECKELBACHER</v>
      </c>
      <c r="M8" s="49" t="str">
        <f>IF(D8="","Loser Pool B #2",IF(D8&lt;2,C8,C9))</f>
        <v>#18, KACZMARCZYK / GRAM</v>
      </c>
      <c r="N8" s="55">
        <f t="shared" ref="N8:Q8" si="7">D9</f>
        <v>0</v>
      </c>
      <c r="O8" s="55">
        <f t="shared" si="7"/>
        <v>15</v>
      </c>
      <c r="P8" s="55">
        <f t="shared" si="7"/>
        <v>12</v>
      </c>
      <c r="Q8" s="55" t="str">
        <f t="shared" si="7"/>
        <v/>
      </c>
      <c r="R8" s="49"/>
      <c r="S8" s="49"/>
      <c r="T8" s="49"/>
      <c r="U8" s="49"/>
      <c r="V8" s="49"/>
      <c r="W8" s="49"/>
      <c r="X8" s="49"/>
      <c r="Y8" s="49"/>
      <c r="Z8" s="49"/>
    </row>
    <row r="9" ht="11.25" customHeight="1">
      <c r="A9" s="58"/>
      <c r="B9" s="58"/>
      <c r="C9" s="58" t="str">
        <f>Pools!B8</f>
        <v>#18, KACZMARCZYK / GRAM</v>
      </c>
      <c r="D9" s="51">
        <f>IF(ISBLANK(E8),"",IF(E8&lt;E9,1,0) + IF(F8&lt;F9,1,0) + IF(G8&lt;G9,1,0))</f>
        <v>0</v>
      </c>
      <c r="E9" s="52">
        <v>15.0</v>
      </c>
      <c r="F9" s="52">
        <v>12.0</v>
      </c>
      <c r="G9" s="51"/>
      <c r="H9" s="51"/>
      <c r="I9" s="51"/>
      <c r="J9" s="57"/>
      <c r="K9" s="54"/>
      <c r="L9" s="49"/>
      <c r="M9" s="49"/>
      <c r="N9" s="55">
        <f t="shared" ref="N9:Q9" si="8">D8</f>
        <v>2</v>
      </c>
      <c r="O9" s="55">
        <f t="shared" si="8"/>
        <v>17</v>
      </c>
      <c r="P9" s="55">
        <f t="shared" si="8"/>
        <v>15</v>
      </c>
      <c r="Q9" s="55" t="str">
        <f t="shared" si="8"/>
        <v/>
      </c>
      <c r="R9" s="49"/>
      <c r="S9" s="49"/>
      <c r="T9" s="49"/>
      <c r="U9" s="49"/>
      <c r="V9" s="49"/>
      <c r="W9" s="49"/>
      <c r="X9" s="49"/>
      <c r="Y9" s="49"/>
      <c r="Z9" s="49"/>
    </row>
    <row r="10" ht="11.25" customHeight="1">
      <c r="A10" s="59">
        <v>5.0</v>
      </c>
      <c r="B10" s="59" t="str">
        <f>Pools!C5</f>
        <v>Pool C</v>
      </c>
      <c r="C10" s="59" t="str">
        <f>Pools!C6</f>
        <v>#3, LAGZDIŅŠ / SPONER</v>
      </c>
      <c r="D10" s="51">
        <f>IF(ISBLANK(E10),"",IF(E10&gt;E11,1,0) + IF(F10&gt;F11,1,0) + IF(G10&gt;G11,1,0))</f>
        <v>2</v>
      </c>
      <c r="E10" s="52">
        <v>9.0</v>
      </c>
      <c r="F10" s="52">
        <v>18.0</v>
      </c>
      <c r="G10" s="52">
        <v>15.0</v>
      </c>
      <c r="H10" s="52" t="s">
        <v>244</v>
      </c>
      <c r="I10" s="51" t="str">
        <f>M2</f>
        <v>#32, FLECHL / OELSCHLÄGEL</v>
      </c>
      <c r="J10" s="53">
        <v>0.3958333333333333</v>
      </c>
      <c r="K10" s="54"/>
      <c r="L10" s="49" t="str">
        <f>IF(D10="","Winner Pool C #1",IF(D10=2,C10,C11))</f>
        <v>#3, LAGZDIŅŠ / SPONER</v>
      </c>
      <c r="M10" s="49" t="str">
        <f>IF(D10="","Loser Pool C #1",IF(D10&lt;2,C10,C11))</f>
        <v>#30, WEISKIRCHNER / STEINMETZ</v>
      </c>
      <c r="N10" s="55">
        <f t="shared" ref="N10:Q10" si="9">D11</f>
        <v>1</v>
      </c>
      <c r="O10" s="55">
        <f t="shared" si="9"/>
        <v>15</v>
      </c>
      <c r="P10" s="55">
        <f t="shared" si="9"/>
        <v>16</v>
      </c>
      <c r="Q10" s="55">
        <f t="shared" si="9"/>
        <v>12</v>
      </c>
      <c r="R10" s="49"/>
      <c r="S10" s="49"/>
      <c r="T10" s="49"/>
      <c r="U10" s="49"/>
      <c r="V10" s="49"/>
      <c r="W10" s="49"/>
      <c r="X10" s="49"/>
      <c r="Y10" s="49"/>
      <c r="Z10" s="49"/>
    </row>
    <row r="11" ht="11.25" customHeight="1">
      <c r="A11" s="59"/>
      <c r="B11" s="59"/>
      <c r="C11" s="59" t="str">
        <f>Pools!C9</f>
        <v>#30, WEISKIRCHNER / STEINMETZ</v>
      </c>
      <c r="D11" s="51">
        <f>IF(ISBLANK(E10),"",IF(E10&lt;E11,1,0) + IF(F10&lt;F11,1,0) + IF(G10&lt;G11,1,0))</f>
        <v>1</v>
      </c>
      <c r="E11" s="52">
        <v>15.0</v>
      </c>
      <c r="F11" s="52">
        <v>16.0</v>
      </c>
      <c r="G11" s="52">
        <v>12.0</v>
      </c>
      <c r="H11" s="52"/>
      <c r="I11" s="51"/>
      <c r="J11" s="57"/>
      <c r="K11" s="54"/>
      <c r="L11" s="49"/>
      <c r="M11" s="49"/>
      <c r="N11" s="55">
        <f t="shared" ref="N11:Q11" si="10">D10</f>
        <v>2</v>
      </c>
      <c r="O11" s="55">
        <f t="shared" si="10"/>
        <v>9</v>
      </c>
      <c r="P11" s="55">
        <f t="shared" si="10"/>
        <v>18</v>
      </c>
      <c r="Q11" s="55">
        <f t="shared" si="10"/>
        <v>15</v>
      </c>
      <c r="R11" s="49"/>
      <c r="S11" s="49"/>
      <c r="T11" s="49"/>
      <c r="U11" s="49"/>
      <c r="V11" s="49"/>
      <c r="W11" s="49"/>
      <c r="X11" s="49"/>
      <c r="Y11" s="49"/>
      <c r="Z11" s="49"/>
    </row>
    <row r="12" ht="11.25" customHeight="1">
      <c r="A12" s="59">
        <v>6.0</v>
      </c>
      <c r="B12" s="59" t="str">
        <f>Pools!C5</f>
        <v>Pool C</v>
      </c>
      <c r="C12" s="59" t="str">
        <f>Pools!C7</f>
        <v>#14, MOROSINI / JOVANOVIĆ</v>
      </c>
      <c r="D12" s="51">
        <f>IF(ISBLANK(E12),"",IF(E12&gt;E13,1,0) + IF(F12&gt;F13,1,0) + IF(G12&gt;G13,1,0))</f>
        <v>2</v>
      </c>
      <c r="E12" s="52">
        <v>15.0</v>
      </c>
      <c r="F12" s="52">
        <v>16.0</v>
      </c>
      <c r="G12" s="51"/>
      <c r="H12" s="52" t="s">
        <v>246</v>
      </c>
      <c r="I12" s="51" t="str">
        <f>M4</f>
        <v>#16, ZECHA / GRÜNWERTH</v>
      </c>
      <c r="J12" s="53">
        <v>0.3958333333333333</v>
      </c>
      <c r="K12" s="54"/>
      <c r="L12" s="49" t="str">
        <f>IF(D12="","Winner Pool C #2",IF(D12=2,C12,C13))</f>
        <v>#14, MOROSINI / JOVANOVIĆ</v>
      </c>
      <c r="M12" s="49" t="str">
        <f>IF(D12="","Loser Pool C #2",IF(D12&lt;2,C12,C13))</f>
        <v>#19, SUN / LAKOMY</v>
      </c>
      <c r="N12" s="55">
        <f t="shared" ref="N12:Q12" si="11">D13</f>
        <v>0</v>
      </c>
      <c r="O12" s="55">
        <f t="shared" si="11"/>
        <v>9</v>
      </c>
      <c r="P12" s="55">
        <f t="shared" si="11"/>
        <v>14</v>
      </c>
      <c r="Q12" s="55" t="str">
        <f t="shared" si="11"/>
        <v/>
      </c>
      <c r="R12" s="49"/>
      <c r="S12" s="49"/>
      <c r="T12" s="49"/>
      <c r="U12" s="49"/>
      <c r="V12" s="49"/>
      <c r="W12" s="49"/>
      <c r="X12" s="49"/>
      <c r="Y12" s="49"/>
      <c r="Z12" s="49"/>
    </row>
    <row r="13" ht="11.25" customHeight="1">
      <c r="A13" s="59"/>
      <c r="B13" s="59"/>
      <c r="C13" s="59" t="str">
        <f>Pools!C8</f>
        <v>#19, SUN / LAKOMY</v>
      </c>
      <c r="D13" s="51">
        <f>IF(ISBLANK(E12),"",IF(E12&lt;E13,1,0) + IF(F12&lt;F13,1,0) + IF(G12&lt;G13,1,0))</f>
        <v>0</v>
      </c>
      <c r="E13" s="52">
        <v>9.0</v>
      </c>
      <c r="F13" s="52">
        <v>14.0</v>
      </c>
      <c r="G13" s="51"/>
      <c r="H13" s="52"/>
      <c r="I13" s="51"/>
      <c r="J13" s="57"/>
      <c r="K13" s="54"/>
      <c r="L13" s="49"/>
      <c r="M13" s="49"/>
      <c r="N13" s="55">
        <f t="shared" ref="N13:Q13" si="12">D12</f>
        <v>2</v>
      </c>
      <c r="O13" s="55">
        <f t="shared" si="12"/>
        <v>15</v>
      </c>
      <c r="P13" s="55">
        <f t="shared" si="12"/>
        <v>16</v>
      </c>
      <c r="Q13" s="55" t="str">
        <f t="shared" si="12"/>
        <v/>
      </c>
      <c r="R13" s="49"/>
      <c r="S13" s="49"/>
      <c r="T13" s="49"/>
      <c r="U13" s="49"/>
      <c r="V13" s="49"/>
      <c r="W13" s="49"/>
      <c r="X13" s="49"/>
      <c r="Y13" s="49"/>
      <c r="Z13" s="49"/>
    </row>
    <row r="14" ht="11.25" customHeight="1">
      <c r="A14" s="60">
        <v>7.0</v>
      </c>
      <c r="B14" s="60" t="str">
        <f>Pools!D5</f>
        <v>Pool D</v>
      </c>
      <c r="C14" s="60" t="str">
        <f>Pools!D6</f>
        <v>#4, LEITNER / EDER</v>
      </c>
      <c r="D14" s="51">
        <f>IF(ISBLANK(E14),"",IF(E14&gt;E15,1,0) + IF(F14&gt;F15,1,0) + IF(G14&gt;G15,1,0))</f>
        <v>2</v>
      </c>
      <c r="E14" s="52">
        <v>15.0</v>
      </c>
      <c r="F14" s="52">
        <v>15.0</v>
      </c>
      <c r="G14" s="51"/>
      <c r="H14" s="52" t="s">
        <v>247</v>
      </c>
      <c r="I14" s="51" t="str">
        <f>M6</f>
        <v>#31, HÖRL / RAUTER</v>
      </c>
      <c r="J14" s="53">
        <v>0.3958333333333333</v>
      </c>
      <c r="K14" s="54"/>
      <c r="L14" s="49" t="str">
        <f>IF(D14="","Winner Pool D #1",IF(D14=2,C14,C15))</f>
        <v>#4, LEITNER / EDER</v>
      </c>
      <c r="M14" s="49" t="str">
        <f>IF(D14="","Loser Pool D #1",IF(D14&lt;2,C14,C15))</f>
        <v>#29, CHLUP / FREITTER</v>
      </c>
      <c r="N14" s="55">
        <f t="shared" ref="N14:Q14" si="13">D15</f>
        <v>0</v>
      </c>
      <c r="O14" s="55">
        <f t="shared" si="13"/>
        <v>6</v>
      </c>
      <c r="P14" s="55">
        <f t="shared" si="13"/>
        <v>13</v>
      </c>
      <c r="Q14" s="55" t="str">
        <f t="shared" si="13"/>
        <v/>
      </c>
      <c r="R14" s="49"/>
      <c r="S14" s="49"/>
      <c r="T14" s="49"/>
      <c r="U14" s="49"/>
      <c r="V14" s="49"/>
      <c r="W14" s="49"/>
      <c r="X14" s="49"/>
      <c r="Y14" s="49"/>
      <c r="Z14" s="49"/>
    </row>
    <row r="15" ht="11.25" customHeight="1">
      <c r="A15" s="60"/>
      <c r="B15" s="60"/>
      <c r="C15" s="60" t="str">
        <f>Pools!D9</f>
        <v>#29, CHLUP / FREITTER</v>
      </c>
      <c r="D15" s="51">
        <f>IF(ISBLANK(E14),"",IF(E14&lt;E15,1,0) + IF(F14&lt;F15,1,0) + IF(G14&lt;G15,1,0))</f>
        <v>0</v>
      </c>
      <c r="E15" s="52">
        <v>6.0</v>
      </c>
      <c r="F15" s="52">
        <v>13.0</v>
      </c>
      <c r="G15" s="51"/>
      <c r="H15" s="51"/>
      <c r="I15" s="51"/>
      <c r="J15" s="57"/>
      <c r="K15" s="54"/>
      <c r="L15" s="49"/>
      <c r="M15" s="49"/>
      <c r="N15" s="55">
        <f t="shared" ref="N15:Q15" si="14">D14</f>
        <v>2</v>
      </c>
      <c r="O15" s="55">
        <f t="shared" si="14"/>
        <v>15</v>
      </c>
      <c r="P15" s="55">
        <f t="shared" si="14"/>
        <v>15</v>
      </c>
      <c r="Q15" s="55" t="str">
        <f t="shared" si="14"/>
        <v/>
      </c>
      <c r="R15" s="49"/>
      <c r="S15" s="49"/>
      <c r="T15" s="49"/>
      <c r="U15" s="49"/>
      <c r="V15" s="49"/>
      <c r="W15" s="49"/>
      <c r="X15" s="49"/>
      <c r="Y15" s="49"/>
      <c r="Z15" s="49"/>
    </row>
    <row r="16" ht="11.25" customHeight="1">
      <c r="A16" s="60">
        <v>8.0</v>
      </c>
      <c r="B16" s="60" t="str">
        <f>Pools!D5</f>
        <v>Pool D</v>
      </c>
      <c r="C16" s="60" t="str">
        <f>Pools!D7</f>
        <v>#13, BARNABA / HOLEČEK</v>
      </c>
      <c r="D16" s="51">
        <f>IF(ISBLANK(E16),"",IF(E16&gt;E17,1,0) + IF(F16&gt;F17,1,0) + IF(G16&gt;G17,1,0))</f>
        <v>0</v>
      </c>
      <c r="E16" s="52">
        <v>15.0</v>
      </c>
      <c r="F16" s="52">
        <v>13.0</v>
      </c>
      <c r="G16" s="51"/>
      <c r="H16" s="52" t="s">
        <v>248</v>
      </c>
      <c r="I16" s="51" t="str">
        <f>M8</f>
        <v>#18, KACZMARCZYK / GRAM</v>
      </c>
      <c r="J16" s="53">
        <v>0.3958333333333333</v>
      </c>
      <c r="K16" s="54"/>
      <c r="L16" s="49" t="str">
        <f>IF(D16="","Winner Pool D #2",IF(D16=2,C16,C17))</f>
        <v>#20, HOFBAUER / BOHACEK</v>
      </c>
      <c r="M16" s="49" t="str">
        <f>IF(D16="","Loser Pool D #2",IF(D16&lt;2,C16,C17))</f>
        <v>#13, BARNABA / HOLEČEK</v>
      </c>
      <c r="N16" s="55">
        <f t="shared" ref="N16:Q16" si="15">D17</f>
        <v>2</v>
      </c>
      <c r="O16" s="55">
        <f t="shared" si="15"/>
        <v>17</v>
      </c>
      <c r="P16" s="55">
        <f t="shared" si="15"/>
        <v>15</v>
      </c>
      <c r="Q16" s="55" t="str">
        <f t="shared" si="15"/>
        <v/>
      </c>
      <c r="R16" s="49"/>
      <c r="S16" s="49"/>
      <c r="T16" s="49"/>
      <c r="U16" s="49"/>
      <c r="V16" s="49"/>
      <c r="W16" s="49"/>
      <c r="X16" s="49"/>
      <c r="Y16" s="49"/>
      <c r="Z16" s="49"/>
    </row>
    <row r="17" ht="11.25" customHeight="1">
      <c r="A17" s="60"/>
      <c r="B17" s="60"/>
      <c r="C17" s="60" t="str">
        <f>Pools!D8</f>
        <v>#20, HOFBAUER / BOHACEK</v>
      </c>
      <c r="D17" s="51">
        <f>IF(ISBLANK(E16),"",IF(E16&lt;E17,1,0) + IF(F16&lt;F17,1,0) + IF(G16&lt;G17,1,0))</f>
        <v>2</v>
      </c>
      <c r="E17" s="52">
        <v>17.0</v>
      </c>
      <c r="F17" s="52">
        <v>15.0</v>
      </c>
      <c r="G17" s="51"/>
      <c r="H17" s="51"/>
      <c r="I17" s="51"/>
      <c r="J17" s="57"/>
      <c r="K17" s="54"/>
      <c r="L17" s="49"/>
      <c r="M17" s="49"/>
      <c r="N17" s="55">
        <f t="shared" ref="N17:Q17" si="16">D16</f>
        <v>0</v>
      </c>
      <c r="O17" s="55">
        <f t="shared" si="16"/>
        <v>15</v>
      </c>
      <c r="P17" s="55">
        <f t="shared" si="16"/>
        <v>13</v>
      </c>
      <c r="Q17" s="55" t="str">
        <f t="shared" si="16"/>
        <v/>
      </c>
      <c r="R17" s="49"/>
      <c r="S17" s="49"/>
      <c r="T17" s="49"/>
      <c r="U17" s="49"/>
      <c r="V17" s="49"/>
      <c r="W17" s="49"/>
      <c r="X17" s="49"/>
      <c r="Y17" s="49"/>
      <c r="Z17" s="49"/>
    </row>
    <row r="18" ht="11.25" customHeight="1">
      <c r="A18" s="61">
        <v>9.0</v>
      </c>
      <c r="B18" s="61" t="str">
        <f>Pools!E5</f>
        <v>Pool E</v>
      </c>
      <c r="C18" s="61" t="str">
        <f>Pools!E6</f>
        <v>#5, WESP / PFEIFFER</v>
      </c>
      <c r="D18" s="51">
        <f>IF(ISBLANK(E18),"",IF(E18&gt;E19,1,0) + IF(F18&gt;F19,1,0) + IF(G18&gt;G19,1,0))</f>
        <v>2</v>
      </c>
      <c r="E18" s="52">
        <v>15.0</v>
      </c>
      <c r="F18" s="52">
        <v>15.0</v>
      </c>
      <c r="G18" s="51"/>
      <c r="H18" s="52" t="s">
        <v>244</v>
      </c>
      <c r="I18" s="51" t="str">
        <f>M10</f>
        <v>#30, WEISKIRCHNER / STEINMETZ</v>
      </c>
      <c r="J18" s="53">
        <v>0.4166666666666667</v>
      </c>
      <c r="K18" s="54"/>
      <c r="L18" s="49" t="str">
        <f>IF(D18="","Winner Pool E #1",IF(D18=2,C18,C19))</f>
        <v>#5, WESP / PFEIFFER</v>
      </c>
      <c r="M18" s="49" t="str">
        <f>IF(D18="","Loser Pool E #1",IF(D18&lt;2,C18,C19))</f>
        <v>#28, DESSEWFFY / ZABLOUDIL</v>
      </c>
      <c r="N18" s="55">
        <f t="shared" ref="N18:Q18" si="17">D19</f>
        <v>0</v>
      </c>
      <c r="O18" s="55">
        <f t="shared" si="17"/>
        <v>12</v>
      </c>
      <c r="P18" s="55">
        <f t="shared" si="17"/>
        <v>10</v>
      </c>
      <c r="Q18" s="55" t="str">
        <f t="shared" si="17"/>
        <v/>
      </c>
      <c r="R18" s="49"/>
      <c r="S18" s="49"/>
      <c r="T18" s="49"/>
      <c r="U18" s="49"/>
      <c r="V18" s="49"/>
      <c r="W18" s="49"/>
      <c r="X18" s="49"/>
      <c r="Y18" s="49"/>
      <c r="Z18" s="49"/>
    </row>
    <row r="19" ht="11.25" customHeight="1">
      <c r="A19" s="61"/>
      <c r="B19" s="61"/>
      <c r="C19" s="61" t="str">
        <f>Pools!E9</f>
        <v>#28, DESSEWFFY / ZABLOUDIL</v>
      </c>
      <c r="D19" s="51">
        <f>IF(ISBLANK(E18),"",IF(E18&lt;E19,1,0) + IF(F18&lt;F19,1,0) + IF(G18&lt;G19,1,0))</f>
        <v>0</v>
      </c>
      <c r="E19" s="52">
        <v>12.0</v>
      </c>
      <c r="F19" s="52">
        <v>10.0</v>
      </c>
      <c r="G19" s="51"/>
      <c r="H19" s="52"/>
      <c r="I19" s="51"/>
      <c r="J19" s="57"/>
      <c r="K19" s="54"/>
      <c r="L19" s="49"/>
      <c r="M19" s="49"/>
      <c r="N19" s="55">
        <f t="shared" ref="N19:Q19" si="18">D18</f>
        <v>2</v>
      </c>
      <c r="O19" s="55">
        <f t="shared" si="18"/>
        <v>15</v>
      </c>
      <c r="P19" s="55">
        <f t="shared" si="18"/>
        <v>15</v>
      </c>
      <c r="Q19" s="55" t="str">
        <f t="shared" si="18"/>
        <v/>
      </c>
      <c r="R19" s="49"/>
      <c r="S19" s="49"/>
      <c r="T19" s="49"/>
      <c r="U19" s="49"/>
      <c r="V19" s="49"/>
      <c r="W19" s="49"/>
      <c r="X19" s="49"/>
      <c r="Y19" s="49"/>
      <c r="Z19" s="49"/>
    </row>
    <row r="20" ht="11.25" customHeight="1">
      <c r="A20" s="61">
        <v>10.0</v>
      </c>
      <c r="B20" s="61" t="str">
        <f>Pools!E5</f>
        <v>Pool E</v>
      </c>
      <c r="C20" s="61" t="str">
        <f>Pools!E7</f>
        <v>#12, ALBRECHT / HRADECSNI</v>
      </c>
      <c r="D20" s="51">
        <f>IF(ISBLANK(E20),"",IF(E20&gt;E21,1,0) + IF(F20&gt;F21,1,0) + IF(G20&gt;G21,1,0))</f>
        <v>2</v>
      </c>
      <c r="E20" s="52">
        <v>15.0</v>
      </c>
      <c r="F20" s="52">
        <v>15.0</v>
      </c>
      <c r="G20" s="51"/>
      <c r="H20" s="52" t="s">
        <v>246</v>
      </c>
      <c r="I20" s="51" t="str">
        <f>M12</f>
        <v>#19, SUN / LAKOMY</v>
      </c>
      <c r="J20" s="53">
        <v>0.4166666666666667</v>
      </c>
      <c r="K20" s="54"/>
      <c r="L20" s="49" t="str">
        <f>IF(D20="","Winner Pool E #2",IF(D20=2,C20,C21))</f>
        <v>#12, ALBRECHT / HRADECSNI</v>
      </c>
      <c r="M20" s="49" t="str">
        <f>IF(D20="","Loser Pool E #2",IF(D20&lt;2,C20,C21))</f>
        <v>#21, JOBST / GAPPNIG</v>
      </c>
      <c r="N20" s="55">
        <f t="shared" ref="N20:Q20" si="19">D21</f>
        <v>0</v>
      </c>
      <c r="O20" s="55">
        <f t="shared" si="19"/>
        <v>4</v>
      </c>
      <c r="P20" s="55">
        <f t="shared" si="19"/>
        <v>9</v>
      </c>
      <c r="Q20" s="55" t="str">
        <f t="shared" si="19"/>
        <v/>
      </c>
      <c r="R20" s="49"/>
      <c r="S20" s="49"/>
      <c r="T20" s="49"/>
      <c r="U20" s="49"/>
      <c r="V20" s="49"/>
      <c r="W20" s="49"/>
      <c r="X20" s="49"/>
      <c r="Y20" s="49"/>
      <c r="Z20" s="49"/>
    </row>
    <row r="21" ht="11.25" customHeight="1">
      <c r="A21" s="61"/>
      <c r="B21" s="61"/>
      <c r="C21" s="61" t="str">
        <f>Pools!E8</f>
        <v>#21, JOBST / GAPPNIG</v>
      </c>
      <c r="D21" s="51">
        <f>IF(ISBLANK(E20),"",IF(E20&lt;E21,1,0) + IF(F20&lt;F21,1,0) + IF(G20&lt;G21,1,0))</f>
        <v>0</v>
      </c>
      <c r="E21" s="52">
        <v>4.0</v>
      </c>
      <c r="F21" s="52">
        <v>9.0</v>
      </c>
      <c r="G21" s="51"/>
      <c r="H21" s="52"/>
      <c r="I21" s="51"/>
      <c r="J21" s="57"/>
      <c r="K21" s="54"/>
      <c r="L21" s="49"/>
      <c r="M21" s="49"/>
      <c r="N21" s="55">
        <f t="shared" ref="N21:Q21" si="20">D20</f>
        <v>2</v>
      </c>
      <c r="O21" s="55">
        <f t="shared" si="20"/>
        <v>15</v>
      </c>
      <c r="P21" s="55">
        <f t="shared" si="20"/>
        <v>15</v>
      </c>
      <c r="Q21" s="55" t="str">
        <f t="shared" si="20"/>
        <v/>
      </c>
      <c r="R21" s="49"/>
      <c r="S21" s="49"/>
      <c r="T21" s="49"/>
      <c r="U21" s="49"/>
      <c r="V21" s="49"/>
      <c r="W21" s="49"/>
      <c r="X21" s="49"/>
      <c r="Y21" s="49"/>
      <c r="Z21" s="49"/>
    </row>
    <row r="22" ht="11.25" customHeight="1">
      <c r="A22" s="62">
        <v>11.0</v>
      </c>
      <c r="B22" s="62" t="str">
        <f>Pools!F5</f>
        <v>Pool F</v>
      </c>
      <c r="C22" s="62" t="str">
        <f>Pools!F6</f>
        <v>#6, CUBASCH / NEHULIAIEV</v>
      </c>
      <c r="D22" s="51">
        <f>IF(ISBLANK(E22),"",IF(E22&gt;E23,1,0) + IF(F22&gt;F23,1,0) + IF(G22&gt;G23,1,0))</f>
        <v>2</v>
      </c>
      <c r="E22" s="52">
        <v>15.0</v>
      </c>
      <c r="F22" s="52">
        <v>15.0</v>
      </c>
      <c r="G22" s="51"/>
      <c r="H22" s="52" t="s">
        <v>247</v>
      </c>
      <c r="I22" s="51" t="str">
        <f>M14</f>
        <v>#29, CHLUP / FREITTER</v>
      </c>
      <c r="J22" s="53">
        <v>0.4166666666666667</v>
      </c>
      <c r="K22" s="54"/>
      <c r="L22" s="49" t="str">
        <f>IF(D22="","Winner Pool F #1",IF(D22=2,C22,C23))</f>
        <v>#6, CUBASCH / NEHULIAIEV</v>
      </c>
      <c r="M22" s="49" t="str">
        <f>IF(D22="","Loser Pool F #1",IF(D22&lt;2,C22,C23))</f>
        <v>#27, MALICKI / FLORIÁN</v>
      </c>
      <c r="N22" s="55">
        <f t="shared" ref="N22:Q22" si="21">D23</f>
        <v>0</v>
      </c>
      <c r="O22" s="55">
        <f t="shared" si="21"/>
        <v>10</v>
      </c>
      <c r="P22" s="55">
        <f t="shared" si="21"/>
        <v>7</v>
      </c>
      <c r="Q22" s="55" t="str">
        <f t="shared" si="21"/>
        <v/>
      </c>
      <c r="R22" s="49"/>
      <c r="S22" s="49"/>
      <c r="T22" s="49"/>
      <c r="U22" s="49"/>
      <c r="V22" s="49"/>
      <c r="W22" s="49"/>
      <c r="X22" s="49"/>
      <c r="Y22" s="49"/>
      <c r="Z22" s="49"/>
    </row>
    <row r="23" ht="11.25" customHeight="1">
      <c r="A23" s="62"/>
      <c r="B23" s="62"/>
      <c r="C23" s="62" t="str">
        <f>Pools!F9</f>
        <v>#27, MALICKI / FLORIÁN</v>
      </c>
      <c r="D23" s="51">
        <f>IF(ISBLANK(E22),"",IF(E22&lt;E23,1,0) + IF(F22&lt;F23,1,0) + IF(G22&lt;G23,1,0))</f>
        <v>0</v>
      </c>
      <c r="E23" s="52">
        <v>10.0</v>
      </c>
      <c r="F23" s="52">
        <v>7.0</v>
      </c>
      <c r="G23" s="51"/>
      <c r="H23" s="51"/>
      <c r="I23" s="51"/>
      <c r="J23" s="57"/>
      <c r="K23" s="54"/>
      <c r="L23" s="49"/>
      <c r="M23" s="49"/>
      <c r="N23" s="55">
        <f t="shared" ref="N23:Q23" si="22">D22</f>
        <v>2</v>
      </c>
      <c r="O23" s="55">
        <f t="shared" si="22"/>
        <v>15</v>
      </c>
      <c r="P23" s="55">
        <f t="shared" si="22"/>
        <v>15</v>
      </c>
      <c r="Q23" s="55" t="str">
        <f t="shared" si="22"/>
        <v/>
      </c>
      <c r="R23" s="49"/>
      <c r="S23" s="49"/>
      <c r="T23" s="49"/>
      <c r="U23" s="49"/>
      <c r="V23" s="49"/>
      <c r="W23" s="49"/>
      <c r="X23" s="49"/>
      <c r="Y23" s="49"/>
      <c r="Z23" s="49"/>
    </row>
    <row r="24" ht="11.25" customHeight="1">
      <c r="A24" s="62">
        <v>12.0</v>
      </c>
      <c r="B24" s="62" t="str">
        <f>Pools!F5</f>
        <v>Pool F</v>
      </c>
      <c r="C24" s="62" t="str">
        <f>Pools!F7</f>
        <v>#11, TKACHENKO / KURZMANN</v>
      </c>
      <c r="D24" s="51">
        <f>IF(ISBLANK(E24),"",IF(E24&gt;E25,1,0) + IF(F24&gt;F25,1,0) + IF(G24&gt;G25,1,0))</f>
        <v>2</v>
      </c>
      <c r="E24" s="52">
        <v>15.0</v>
      </c>
      <c r="F24" s="52">
        <v>6.0</v>
      </c>
      <c r="G24" s="52">
        <v>15.0</v>
      </c>
      <c r="H24" s="52" t="s">
        <v>248</v>
      </c>
      <c r="I24" s="51" t="str">
        <f>M16</f>
        <v>#13, BARNABA / HOLEČEK</v>
      </c>
      <c r="J24" s="53">
        <v>0.4166666666666667</v>
      </c>
      <c r="K24" s="54"/>
      <c r="L24" s="49" t="str">
        <f>IF(D24="","Winner Pool F #2",IF(D24=2,C24,C25))</f>
        <v>#11, TKACHENKO / KURZMANN</v>
      </c>
      <c r="M24" s="49" t="str">
        <f>IF(D24="","Loser Pool F #2",IF(D24&lt;2,C24,C25))</f>
        <v>#22, SCHEBELLA / GRAF</v>
      </c>
      <c r="N24" s="55">
        <f t="shared" ref="N24:Q24" si="23">D25</f>
        <v>1</v>
      </c>
      <c r="O24" s="55">
        <f t="shared" si="23"/>
        <v>13</v>
      </c>
      <c r="P24" s="55">
        <f t="shared" si="23"/>
        <v>15</v>
      </c>
      <c r="Q24" s="55">
        <f t="shared" si="23"/>
        <v>9</v>
      </c>
      <c r="R24" s="49"/>
      <c r="S24" s="49"/>
      <c r="T24" s="49"/>
      <c r="U24" s="49"/>
      <c r="V24" s="49"/>
      <c r="W24" s="49"/>
      <c r="X24" s="49"/>
      <c r="Y24" s="49"/>
      <c r="Z24" s="49"/>
    </row>
    <row r="25" ht="11.25" customHeight="1">
      <c r="A25" s="62"/>
      <c r="B25" s="62"/>
      <c r="C25" s="62" t="str">
        <f>Pools!F8</f>
        <v>#22, SCHEBELLA / GRAF</v>
      </c>
      <c r="D25" s="51">
        <f>IF(ISBLANK(E24),"",IF(E24&lt;E25,1,0) + IF(F24&lt;F25,1,0) + IF(G24&lt;G25,1,0))</f>
        <v>1</v>
      </c>
      <c r="E25" s="52">
        <v>13.0</v>
      </c>
      <c r="F25" s="52">
        <v>15.0</v>
      </c>
      <c r="G25" s="52">
        <v>9.0</v>
      </c>
      <c r="H25" s="51"/>
      <c r="I25" s="51"/>
      <c r="J25" s="57"/>
      <c r="K25" s="54"/>
      <c r="L25" s="49"/>
      <c r="M25" s="49"/>
      <c r="N25" s="55">
        <f t="shared" ref="N25:Q25" si="24">D24</f>
        <v>2</v>
      </c>
      <c r="O25" s="55">
        <f t="shared" si="24"/>
        <v>15</v>
      </c>
      <c r="P25" s="55">
        <f t="shared" si="24"/>
        <v>6</v>
      </c>
      <c r="Q25" s="55">
        <f t="shared" si="24"/>
        <v>15</v>
      </c>
      <c r="R25" s="49"/>
      <c r="S25" s="49"/>
      <c r="T25" s="49"/>
      <c r="U25" s="49"/>
      <c r="V25" s="49"/>
      <c r="W25" s="49"/>
      <c r="X25" s="49"/>
      <c r="Y25" s="49"/>
      <c r="Z25" s="49"/>
    </row>
    <row r="26" ht="11.25" customHeight="1">
      <c r="A26" s="63">
        <v>13.0</v>
      </c>
      <c r="B26" s="63" t="s">
        <v>229</v>
      </c>
      <c r="C26" s="63" t="str">
        <f>Pools!G6</f>
        <v>#7, HOHENAUER / CARMANN</v>
      </c>
      <c r="D26" s="51">
        <f>IF(ISBLANK(E26),"",IF(E26&gt;E27,1,0) + IF(F26&gt;F27,1,0) + IF(G26&gt;G27,1,0))</f>
        <v>2</v>
      </c>
      <c r="E26" s="52">
        <v>15.0</v>
      </c>
      <c r="F26" s="52">
        <v>13.0</v>
      </c>
      <c r="G26" s="52">
        <v>15.0</v>
      </c>
      <c r="H26" s="52" t="s">
        <v>244</v>
      </c>
      <c r="I26" s="51" t="str">
        <f>M18</f>
        <v>#28, DESSEWFFY / ZABLOUDIL</v>
      </c>
      <c r="J26" s="53"/>
      <c r="K26" s="54"/>
      <c r="L26" s="49" t="str">
        <f>IF(D26="","Winner Pool G #1",IF(D26=2,C26,C27))</f>
        <v>#7, HOHENAUER / CARMANN</v>
      </c>
      <c r="M26" s="49" t="str">
        <f>IF(D26="","Loser Pool G #1",IF(D26&lt;2,C26,C27))</f>
        <v>#26, TIWALD / ALTENRIEDERER</v>
      </c>
      <c r="N26" s="55">
        <f t="shared" ref="N26:Q26" si="25">D27</f>
        <v>1</v>
      </c>
      <c r="O26" s="55">
        <f t="shared" si="25"/>
        <v>9</v>
      </c>
      <c r="P26" s="55">
        <f t="shared" si="25"/>
        <v>15</v>
      </c>
      <c r="Q26" s="55">
        <f t="shared" si="25"/>
        <v>6</v>
      </c>
      <c r="R26" s="49"/>
      <c r="S26" s="49"/>
      <c r="T26" s="49"/>
      <c r="U26" s="49"/>
      <c r="V26" s="49"/>
      <c r="W26" s="49"/>
      <c r="X26" s="49"/>
      <c r="Y26" s="49"/>
      <c r="Z26" s="49"/>
    </row>
    <row r="27" ht="11.25" customHeight="1">
      <c r="A27" s="63"/>
      <c r="B27" s="63"/>
      <c r="C27" s="63" t="str">
        <f>Pools!G9</f>
        <v>#26, TIWALD / ALTENRIEDERER</v>
      </c>
      <c r="D27" s="51">
        <f>IF(ISBLANK(E26),"",IF(E26&lt;E27,1,0) + IF(F26&lt;F27,1,0) + IF(G26&lt;G27,1,0))</f>
        <v>1</v>
      </c>
      <c r="E27" s="52">
        <v>9.0</v>
      </c>
      <c r="F27" s="52">
        <v>15.0</v>
      </c>
      <c r="G27" s="52">
        <v>6.0</v>
      </c>
      <c r="H27" s="52"/>
      <c r="I27" s="51"/>
      <c r="J27" s="64"/>
      <c r="K27" s="54"/>
      <c r="L27" s="49"/>
      <c r="M27" s="49"/>
      <c r="N27" s="55">
        <f t="shared" ref="N27:Q27" si="26">D26</f>
        <v>2</v>
      </c>
      <c r="O27" s="55">
        <f t="shared" si="26"/>
        <v>15</v>
      </c>
      <c r="P27" s="55">
        <f t="shared" si="26"/>
        <v>13</v>
      </c>
      <c r="Q27" s="55">
        <f t="shared" si="26"/>
        <v>15</v>
      </c>
      <c r="R27" s="49"/>
      <c r="S27" s="49"/>
      <c r="T27" s="49"/>
      <c r="U27" s="49"/>
      <c r="V27" s="49"/>
      <c r="W27" s="49"/>
      <c r="X27" s="49"/>
      <c r="Y27" s="49"/>
      <c r="Z27" s="49"/>
    </row>
    <row r="28" ht="11.25" customHeight="1">
      <c r="A28" s="63">
        <v>14.0</v>
      </c>
      <c r="B28" s="63" t="s">
        <v>229</v>
      </c>
      <c r="C28" s="63" t="str">
        <f>Pools!G7</f>
        <v>#10, JANOTTA / OFNER</v>
      </c>
      <c r="D28" s="51">
        <f>IF(ISBLANK(E28),"",IF(E28&gt;E29,1,0) + IF(F28&gt;F29,1,0) + IF(G28&gt;G29,1,0))</f>
        <v>2</v>
      </c>
      <c r="E28" s="52">
        <v>15.0</v>
      </c>
      <c r="F28" s="52">
        <v>12.0</v>
      </c>
      <c r="G28" s="52">
        <v>15.0</v>
      </c>
      <c r="H28" s="52" t="s">
        <v>246</v>
      </c>
      <c r="I28" s="51" t="str">
        <f>M20</f>
        <v>#21, JOBST / GAPPNIG</v>
      </c>
      <c r="J28" s="53"/>
      <c r="K28" s="54"/>
      <c r="L28" s="49" t="str">
        <f>IF(D28="","Winner Pool G #2",IF(D28=2,C28,C29))</f>
        <v>#10, JANOTTA / OFNER</v>
      </c>
      <c r="M28" s="49" t="str">
        <f>IF(D28="","Loser Pool G #2",IF(D28&lt;2,C28,C29))</f>
        <v>#23, LANGER / SAFTIUK</v>
      </c>
      <c r="N28" s="55">
        <f t="shared" ref="N28:Q28" si="27">D29</f>
        <v>1</v>
      </c>
      <c r="O28" s="55">
        <f t="shared" si="27"/>
        <v>11</v>
      </c>
      <c r="P28" s="55">
        <f t="shared" si="27"/>
        <v>15</v>
      </c>
      <c r="Q28" s="55">
        <f t="shared" si="27"/>
        <v>6</v>
      </c>
      <c r="R28" s="49"/>
      <c r="S28" s="49"/>
      <c r="T28" s="49"/>
      <c r="U28" s="49"/>
      <c r="V28" s="49"/>
      <c r="W28" s="49"/>
      <c r="X28" s="49"/>
      <c r="Y28" s="49"/>
      <c r="Z28" s="49"/>
    </row>
    <row r="29" ht="11.25" customHeight="1">
      <c r="A29" s="63"/>
      <c r="B29" s="63"/>
      <c r="C29" s="63" t="str">
        <f>Pools!G8</f>
        <v>#23, LANGER / SAFTIUK</v>
      </c>
      <c r="D29" s="51">
        <f>IF(ISBLANK(E28),"",IF(E28&lt;E29,1,0) + IF(F28&lt;F29,1,0) + IF(G28&lt;G29,1,0))</f>
        <v>1</v>
      </c>
      <c r="E29" s="52">
        <v>11.0</v>
      </c>
      <c r="F29" s="52">
        <v>15.0</v>
      </c>
      <c r="G29" s="52">
        <v>6.0</v>
      </c>
      <c r="H29" s="52"/>
      <c r="I29" s="51"/>
      <c r="J29" s="64"/>
      <c r="K29" s="54"/>
      <c r="L29" s="49"/>
      <c r="M29" s="49"/>
      <c r="N29" s="55">
        <f t="shared" ref="N29:Q29" si="28">D28</f>
        <v>2</v>
      </c>
      <c r="O29" s="55">
        <f t="shared" si="28"/>
        <v>15</v>
      </c>
      <c r="P29" s="55">
        <f t="shared" si="28"/>
        <v>12</v>
      </c>
      <c r="Q29" s="55">
        <f t="shared" si="28"/>
        <v>15</v>
      </c>
      <c r="R29" s="49"/>
      <c r="S29" s="49"/>
      <c r="T29" s="49"/>
      <c r="U29" s="49"/>
      <c r="V29" s="49"/>
      <c r="W29" s="49"/>
      <c r="X29" s="49"/>
      <c r="Y29" s="49"/>
      <c r="Z29" s="49"/>
    </row>
    <row r="30" ht="11.25" customHeight="1">
      <c r="A30" s="65">
        <v>15.0</v>
      </c>
      <c r="B30" s="65" t="s">
        <v>230</v>
      </c>
      <c r="C30" s="65" t="str">
        <f>Pools!H6</f>
        <v>#8, SCHEUCHER / BAUER</v>
      </c>
      <c r="D30" s="51">
        <f>IF(ISBLANK(E30),"",IF(E30&gt;E31,1,0) + IF(F30&gt;F31,1,0) + IF(G30&gt;G31,1,0))</f>
        <v>2</v>
      </c>
      <c r="E30" s="52">
        <v>15.0</v>
      </c>
      <c r="F30" s="52">
        <v>15.0</v>
      </c>
      <c r="G30" s="51"/>
      <c r="H30" s="52" t="s">
        <v>247</v>
      </c>
      <c r="I30" s="51" t="str">
        <f>M22</f>
        <v>#27, MALICKI / FLORIÁN</v>
      </c>
      <c r="J30" s="53"/>
      <c r="K30" s="54"/>
      <c r="L30" s="49" t="str">
        <f>IF(D30="","Winner Pool H #1",IF(D30=2,C30,C31))</f>
        <v>#8, SCHEUCHER / BAUER</v>
      </c>
      <c r="M30" s="49" t="str">
        <f>IF(D30="","Loser Pool H #1",IF(D30&lt;2,C30,C31))</f>
        <v>#25, EICHINGER / REISS</v>
      </c>
      <c r="N30" s="55">
        <f t="shared" ref="N30:Q30" si="29">D31</f>
        <v>0</v>
      </c>
      <c r="O30" s="55">
        <f t="shared" si="29"/>
        <v>6</v>
      </c>
      <c r="P30" s="55">
        <f t="shared" si="29"/>
        <v>8</v>
      </c>
      <c r="Q30" s="55" t="str">
        <f t="shared" si="29"/>
        <v/>
      </c>
      <c r="R30" s="49"/>
      <c r="S30" s="49"/>
      <c r="T30" s="49"/>
      <c r="U30" s="49"/>
      <c r="V30" s="49"/>
      <c r="W30" s="49"/>
      <c r="X30" s="49"/>
      <c r="Y30" s="49"/>
      <c r="Z30" s="49"/>
    </row>
    <row r="31" ht="11.25" customHeight="1">
      <c r="A31" s="65"/>
      <c r="B31" s="65"/>
      <c r="C31" s="65" t="str">
        <f>Pools!H9</f>
        <v>#25, EICHINGER / REISS</v>
      </c>
      <c r="D31" s="51">
        <f>IF(ISBLANK(E30),"",IF(E30&lt;E31,1,0) + IF(F30&lt;F31,1,0) + IF(G30&lt;G31,1,0))</f>
        <v>0</v>
      </c>
      <c r="E31" s="52">
        <v>6.0</v>
      </c>
      <c r="F31" s="52">
        <v>8.0</v>
      </c>
      <c r="G31" s="51"/>
      <c r="H31" s="51"/>
      <c r="I31" s="51"/>
      <c r="J31" s="64"/>
      <c r="K31" s="54"/>
      <c r="L31" s="49"/>
      <c r="M31" s="49"/>
      <c r="N31" s="55">
        <f t="shared" ref="N31:Q31" si="30">D30</f>
        <v>2</v>
      </c>
      <c r="O31" s="55">
        <f t="shared" si="30"/>
        <v>15</v>
      </c>
      <c r="P31" s="55">
        <f t="shared" si="30"/>
        <v>15</v>
      </c>
      <c r="Q31" s="55" t="str">
        <f t="shared" si="30"/>
        <v/>
      </c>
      <c r="R31" s="49"/>
      <c r="S31" s="49"/>
      <c r="T31" s="49"/>
      <c r="U31" s="49"/>
      <c r="V31" s="49"/>
      <c r="W31" s="49"/>
      <c r="X31" s="49"/>
      <c r="Y31" s="49"/>
      <c r="Z31" s="49"/>
    </row>
    <row r="32" ht="11.25" customHeight="1">
      <c r="A32" s="65">
        <v>16.0</v>
      </c>
      <c r="B32" s="65" t="s">
        <v>230</v>
      </c>
      <c r="C32" s="65" t="str">
        <f>Pools!H7</f>
        <v>#9, HARTEL / SANDNER</v>
      </c>
      <c r="D32" s="51">
        <f>IF(ISBLANK(E32),"",IF(E32&gt;E33,1,0) + IF(F32&gt;F33,1,0) + IF(G32&gt;G33,1,0))</f>
        <v>2</v>
      </c>
      <c r="E32" s="52">
        <v>15.0</v>
      </c>
      <c r="F32" s="52">
        <v>15.0</v>
      </c>
      <c r="G32" s="51"/>
      <c r="H32" s="52" t="s">
        <v>248</v>
      </c>
      <c r="I32" s="51" t="str">
        <f>M24</f>
        <v>#22, SCHEBELLA / GRAF</v>
      </c>
      <c r="J32" s="53"/>
      <c r="K32" s="54"/>
      <c r="L32" s="49" t="str">
        <f>IF(D32="","Winner Pool H #2",IF(D32=2,C32,C33))</f>
        <v>#9, HARTEL / SANDNER</v>
      </c>
      <c r="M32" s="49" t="str">
        <f>IF(D32="","Loser Pool H #2",IF(D32&lt;2,C32,C33))</f>
        <v>#24, LEPIC / VUKOVIC</v>
      </c>
      <c r="N32" s="55">
        <f t="shared" ref="N32:Q32" si="31">D33</f>
        <v>0</v>
      </c>
      <c r="O32" s="55">
        <f t="shared" si="31"/>
        <v>0</v>
      </c>
      <c r="P32" s="55">
        <f t="shared" si="31"/>
        <v>0</v>
      </c>
      <c r="Q32" s="55" t="str">
        <f t="shared" si="31"/>
        <v/>
      </c>
      <c r="R32" s="49"/>
      <c r="S32" s="49"/>
      <c r="T32" s="49"/>
      <c r="U32" s="49"/>
      <c r="V32" s="49"/>
      <c r="W32" s="49"/>
      <c r="X32" s="49"/>
      <c r="Y32" s="49"/>
      <c r="Z32" s="49"/>
    </row>
    <row r="33" ht="11.25" customHeight="1">
      <c r="A33" s="65"/>
      <c r="B33" s="65"/>
      <c r="C33" s="65" t="str">
        <f>Pools!H8</f>
        <v>#24, LEPIC / VUKOVIC</v>
      </c>
      <c r="D33" s="51">
        <f>IF(ISBLANK(E32),"",IF(E32&lt;E33,1,0) + IF(F32&lt;F33,1,0) + IF(G32&lt;G33,1,0))</f>
        <v>0</v>
      </c>
      <c r="E33" s="52">
        <v>0.0</v>
      </c>
      <c r="F33" s="52">
        <v>0.0</v>
      </c>
      <c r="G33" s="51"/>
      <c r="H33" s="51"/>
      <c r="I33" s="51"/>
      <c r="J33" s="64"/>
      <c r="K33" s="54"/>
      <c r="L33" s="49"/>
      <c r="M33" s="49"/>
      <c r="N33" s="55">
        <f t="shared" ref="N33:Q33" si="32">D32</f>
        <v>2</v>
      </c>
      <c r="O33" s="55">
        <f t="shared" si="32"/>
        <v>15</v>
      </c>
      <c r="P33" s="55">
        <f t="shared" si="32"/>
        <v>15</v>
      </c>
      <c r="Q33" s="55" t="str">
        <f t="shared" si="32"/>
        <v/>
      </c>
      <c r="R33" s="56" t="s">
        <v>249</v>
      </c>
      <c r="S33" s="49"/>
      <c r="T33" s="49"/>
      <c r="U33" s="49"/>
      <c r="V33" s="49"/>
      <c r="W33" s="49"/>
      <c r="X33" s="49"/>
      <c r="Y33" s="49"/>
      <c r="Z33" s="49"/>
    </row>
    <row r="34" ht="11.25" customHeight="1">
      <c r="A34" s="50">
        <v>17.0</v>
      </c>
      <c r="B34" s="50" t="str">
        <f>Pools!A5</f>
        <v>Pool A</v>
      </c>
      <c r="C34" s="50" t="str">
        <f>L2</f>
        <v>#1, CSEKÖ / TRAUTH</v>
      </c>
      <c r="D34" s="51">
        <f>IF(ISBLANK(E34),"",IF(E34&gt;E35,1,0) + IF(F34&gt;F35,1,0) + IF(G34&gt;G35,1,0))</f>
        <v>2</v>
      </c>
      <c r="E34" s="52">
        <v>15.0</v>
      </c>
      <c r="F34" s="52">
        <v>15.0</v>
      </c>
      <c r="G34" s="51"/>
      <c r="H34" s="52" t="s">
        <v>244</v>
      </c>
      <c r="I34" s="51" t="str">
        <f>M26</f>
        <v>#26, TIWALD / ALTENRIEDERER</v>
      </c>
      <c r="J34" s="53"/>
      <c r="K34" s="54"/>
      <c r="L34" s="49" t="str">
        <f>IF(D34="","Winner Pool A #3",IF(D34=2,C34,C35))</f>
        <v>#1, CSEKÖ / TRAUTH</v>
      </c>
      <c r="M34" s="49" t="str">
        <f>IF(D34="","Loser Pool A #3",IF(D34&lt;2,C34,C35))</f>
        <v>#17, NOLL / WEIKERT</v>
      </c>
      <c r="N34" s="55">
        <f t="shared" ref="N34:Q34" si="33">D35</f>
        <v>0</v>
      </c>
      <c r="O34" s="55">
        <f t="shared" si="33"/>
        <v>12</v>
      </c>
      <c r="P34" s="55">
        <f t="shared" si="33"/>
        <v>7</v>
      </c>
      <c r="Q34" s="55" t="str">
        <f t="shared" si="33"/>
        <v/>
      </c>
      <c r="R34" s="49"/>
      <c r="S34" s="56" t="s">
        <v>245</v>
      </c>
      <c r="T34" s="49"/>
      <c r="U34" s="49"/>
      <c r="V34" s="49"/>
      <c r="W34" s="49"/>
      <c r="X34" s="49"/>
      <c r="Y34" s="49"/>
      <c r="Z34" s="49"/>
    </row>
    <row r="35" ht="11.25" customHeight="1">
      <c r="A35" s="50"/>
      <c r="B35" s="50"/>
      <c r="C35" s="50" t="str">
        <f>L4</f>
        <v>#17, NOLL / WEIKERT</v>
      </c>
      <c r="D35" s="51">
        <f>IF(ISBLANK(E34),"",IF(E34&lt;E35,1,0) + IF(F34&lt;F35,1,0) + IF(G34&lt;G35,1,0))</f>
        <v>0</v>
      </c>
      <c r="E35" s="52">
        <v>12.0</v>
      </c>
      <c r="F35" s="52">
        <v>7.0</v>
      </c>
      <c r="G35" s="51"/>
      <c r="H35" s="52"/>
      <c r="I35" s="51"/>
      <c r="J35" s="64"/>
      <c r="K35" s="54"/>
      <c r="L35" s="49"/>
      <c r="M35" s="49"/>
      <c r="N35" s="55">
        <f t="shared" ref="N35:Q35" si="34">D34</f>
        <v>2</v>
      </c>
      <c r="O35" s="55">
        <f t="shared" si="34"/>
        <v>15</v>
      </c>
      <c r="P35" s="55">
        <f t="shared" si="34"/>
        <v>15</v>
      </c>
      <c r="Q35" s="55" t="str">
        <f t="shared" si="34"/>
        <v/>
      </c>
      <c r="R35" s="49"/>
      <c r="S35" s="49"/>
      <c r="T35" s="49"/>
      <c r="U35" s="49"/>
      <c r="V35" s="49"/>
      <c r="W35" s="49"/>
      <c r="X35" s="49"/>
      <c r="Y35" s="49"/>
      <c r="Z35" s="49"/>
    </row>
    <row r="36" ht="11.25" customHeight="1">
      <c r="A36" s="50">
        <v>18.0</v>
      </c>
      <c r="B36" s="50" t="str">
        <f>Pools!A5</f>
        <v>Pool A</v>
      </c>
      <c r="C36" s="50" t="str">
        <f>M2</f>
        <v>#32, FLECHL / OELSCHLÄGEL</v>
      </c>
      <c r="D36" s="51">
        <f>IF(ISBLANK(E36),"",IF(E36&gt;E37,1,0) + IF(F36&gt;F37,1,0) + IF(G36&gt;G37,1,0))</f>
        <v>0</v>
      </c>
      <c r="E36" s="52">
        <v>5.0</v>
      </c>
      <c r="F36" s="52">
        <v>10.0</v>
      </c>
      <c r="G36" s="51"/>
      <c r="H36" s="52" t="s">
        <v>246</v>
      </c>
      <c r="I36" s="51" t="str">
        <f>M28</f>
        <v>#23, LANGER / SAFTIUK</v>
      </c>
      <c r="J36" s="53"/>
      <c r="K36" s="54"/>
      <c r="L36" s="49" t="str">
        <f>IF(D36="","Winner Pool A #4",IF(D36=2,C36,C37))</f>
        <v>#16, ZECHA / GRÜNWERTH</v>
      </c>
      <c r="M36" s="49" t="str">
        <f>IF(D36="","Loser Pool A #4",IF(D36&lt;2,C36,C37))</f>
        <v>#32, FLECHL / OELSCHLÄGEL</v>
      </c>
      <c r="N36" s="55">
        <f t="shared" ref="N36:Q36" si="35">D37</f>
        <v>2</v>
      </c>
      <c r="O36" s="55">
        <f t="shared" si="35"/>
        <v>15</v>
      </c>
      <c r="P36" s="55">
        <f t="shared" si="35"/>
        <v>15</v>
      </c>
      <c r="Q36" s="55" t="str">
        <f t="shared" si="35"/>
        <v/>
      </c>
      <c r="R36" s="49"/>
      <c r="S36" s="49"/>
      <c r="T36" s="49"/>
      <c r="U36" s="49"/>
      <c r="V36" s="49"/>
      <c r="W36" s="49"/>
      <c r="X36" s="49"/>
      <c r="Y36" s="49"/>
      <c r="Z36" s="49"/>
    </row>
    <row r="37" ht="11.25" customHeight="1">
      <c r="A37" s="50"/>
      <c r="B37" s="50"/>
      <c r="C37" s="50" t="str">
        <f>M4</f>
        <v>#16, ZECHA / GRÜNWERTH</v>
      </c>
      <c r="D37" s="51">
        <f>IF(ISBLANK(E36),"",IF(E36&lt;E37,1,0) + IF(F36&lt;F37,1,0) + IF(G36&lt;G37,1,0))</f>
        <v>2</v>
      </c>
      <c r="E37" s="52">
        <v>15.0</v>
      </c>
      <c r="F37" s="52">
        <v>15.0</v>
      </c>
      <c r="G37" s="51"/>
      <c r="H37" s="52"/>
      <c r="I37" s="51"/>
      <c r="J37" s="64"/>
      <c r="K37" s="54"/>
      <c r="L37" s="49"/>
      <c r="M37" s="49"/>
      <c r="N37" s="55">
        <f t="shared" ref="N37:Q37" si="36">D36</f>
        <v>0</v>
      </c>
      <c r="O37" s="55">
        <f t="shared" si="36"/>
        <v>5</v>
      </c>
      <c r="P37" s="55">
        <f t="shared" si="36"/>
        <v>10</v>
      </c>
      <c r="Q37" s="55" t="str">
        <f t="shared" si="36"/>
        <v/>
      </c>
      <c r="R37" s="49"/>
      <c r="S37" s="49"/>
      <c r="T37" s="49"/>
      <c r="U37" s="49"/>
      <c r="V37" s="49"/>
      <c r="W37" s="49"/>
      <c r="X37" s="49"/>
      <c r="Y37" s="49"/>
      <c r="Z37" s="49"/>
    </row>
    <row r="38" ht="11.25" customHeight="1">
      <c r="A38" s="58">
        <v>19.0</v>
      </c>
      <c r="B38" s="58" t="str">
        <f>Pools!B5</f>
        <v>Pool B</v>
      </c>
      <c r="C38" s="58" t="str">
        <f>L6</f>
        <v>#2, FÜHRER / SEISER</v>
      </c>
      <c r="D38" s="51">
        <f>IF(ISBLANK(E38),"",IF(E38&gt;E39,1,0) + IF(F38&gt;F39,1,0) + IF(G38&gt;G39,1,0))</f>
        <v>0</v>
      </c>
      <c r="E38" s="52">
        <v>10.0</v>
      </c>
      <c r="F38" s="52">
        <v>12.0</v>
      </c>
      <c r="G38" s="51"/>
      <c r="H38" s="52" t="s">
        <v>247</v>
      </c>
      <c r="I38" s="51" t="str">
        <f>M30</f>
        <v>#25, EICHINGER / REISS</v>
      </c>
      <c r="J38" s="53"/>
      <c r="K38" s="54"/>
      <c r="L38" s="49" t="str">
        <f>IF(D38="","Winner Pool B #3",IF(D38=2,C38,C39))</f>
        <v>#15, KLAFFINGER / ECKELBACHER</v>
      </c>
      <c r="M38" s="49" t="str">
        <f>IF(D38="","Loser Pool B #3",IF(D38&lt;2,C38,C39))</f>
        <v>#2, FÜHRER / SEISER</v>
      </c>
      <c r="N38" s="55">
        <f t="shared" ref="N38:Q38" si="37">D39</f>
        <v>2</v>
      </c>
      <c r="O38" s="55">
        <f t="shared" si="37"/>
        <v>15</v>
      </c>
      <c r="P38" s="55">
        <f t="shared" si="37"/>
        <v>15</v>
      </c>
      <c r="Q38" s="55" t="str">
        <f t="shared" si="37"/>
        <v/>
      </c>
      <c r="R38" s="49"/>
      <c r="S38" s="49"/>
      <c r="T38" s="49"/>
      <c r="U38" s="49"/>
      <c r="V38" s="49"/>
      <c r="W38" s="49"/>
      <c r="X38" s="49"/>
      <c r="Y38" s="49"/>
      <c r="Z38" s="49"/>
    </row>
    <row r="39" ht="11.25" customHeight="1">
      <c r="A39" s="58"/>
      <c r="B39" s="58"/>
      <c r="C39" s="58" t="str">
        <f>L8</f>
        <v>#15, KLAFFINGER / ECKELBACHER</v>
      </c>
      <c r="D39" s="51">
        <f>IF(ISBLANK(E38),"",IF(E38&lt;E39,1,0) + IF(F38&lt;F39,1,0) + IF(G38&lt;G39,1,0))</f>
        <v>2</v>
      </c>
      <c r="E39" s="52">
        <v>15.0</v>
      </c>
      <c r="F39" s="52">
        <v>15.0</v>
      </c>
      <c r="G39" s="51"/>
      <c r="H39" s="51"/>
      <c r="I39" s="51"/>
      <c r="J39" s="64"/>
      <c r="K39" s="54"/>
      <c r="L39" s="49"/>
      <c r="M39" s="49"/>
      <c r="N39" s="55">
        <f t="shared" ref="N39:Q39" si="38">D38</f>
        <v>0</v>
      </c>
      <c r="O39" s="55">
        <f t="shared" si="38"/>
        <v>10</v>
      </c>
      <c r="P39" s="55">
        <f t="shared" si="38"/>
        <v>12</v>
      </c>
      <c r="Q39" s="55" t="str">
        <f t="shared" si="38"/>
        <v/>
      </c>
      <c r="R39" s="49"/>
      <c r="S39" s="49"/>
      <c r="T39" s="49"/>
      <c r="U39" s="49"/>
      <c r="V39" s="49"/>
      <c r="W39" s="49"/>
      <c r="X39" s="49"/>
      <c r="Y39" s="49"/>
      <c r="Z39" s="49"/>
    </row>
    <row r="40" ht="11.25" customHeight="1">
      <c r="A40" s="58">
        <v>20.0</v>
      </c>
      <c r="B40" s="58" t="str">
        <f>Pools!B5</f>
        <v>Pool B</v>
      </c>
      <c r="C40" s="58" t="str">
        <f>M6</f>
        <v>#31, HÖRL / RAUTER</v>
      </c>
      <c r="D40" s="51">
        <f>IF(ISBLANK(E40),"",IF(E40&gt;E41,1,0) + IF(F40&gt;F41,1,0) + IF(G40&gt;G41,1,0))</f>
        <v>2</v>
      </c>
      <c r="E40" s="52">
        <v>13.0</v>
      </c>
      <c r="F40" s="52">
        <v>15.0</v>
      </c>
      <c r="G40" s="52">
        <v>15.0</v>
      </c>
      <c r="H40" s="52" t="s">
        <v>248</v>
      </c>
      <c r="I40" s="51" t="str">
        <f>M24</f>
        <v>#22, SCHEBELLA / GRAF</v>
      </c>
      <c r="J40" s="53"/>
      <c r="K40" s="54"/>
      <c r="L40" s="49" t="str">
        <f>IF(D40="","Winner Pool B #4",IF(D40=2,C40,C41))</f>
        <v>#31, HÖRL / RAUTER</v>
      </c>
      <c r="M40" s="49" t="str">
        <f>IF(D40="","Loser Pool B #4",IF(D40&lt;2,C40,C41))</f>
        <v>#18, KACZMARCZYK / GRAM</v>
      </c>
      <c r="N40" s="55">
        <f t="shared" ref="N40:Q40" si="39">D41</f>
        <v>1</v>
      </c>
      <c r="O40" s="55">
        <f t="shared" si="39"/>
        <v>15</v>
      </c>
      <c r="P40" s="55">
        <f t="shared" si="39"/>
        <v>11</v>
      </c>
      <c r="Q40" s="55">
        <f t="shared" si="39"/>
        <v>9</v>
      </c>
      <c r="R40" s="49"/>
      <c r="S40" s="49"/>
      <c r="T40" s="49"/>
      <c r="U40" s="49"/>
      <c r="V40" s="49"/>
      <c r="W40" s="49"/>
      <c r="X40" s="49"/>
      <c r="Y40" s="49"/>
      <c r="Z40" s="49"/>
    </row>
    <row r="41" ht="11.25" customHeight="1">
      <c r="A41" s="58"/>
      <c r="B41" s="58"/>
      <c r="C41" s="58" t="str">
        <f>M8</f>
        <v>#18, KACZMARCZYK / GRAM</v>
      </c>
      <c r="D41" s="51">
        <f>IF(ISBLANK(E40),"",IF(E40&lt;E41,1,0) + IF(F40&lt;F41,1,0) + IF(G40&lt;G41,1,0))</f>
        <v>1</v>
      </c>
      <c r="E41" s="52">
        <v>15.0</v>
      </c>
      <c r="F41" s="52">
        <v>11.0</v>
      </c>
      <c r="G41" s="52">
        <v>9.0</v>
      </c>
      <c r="H41" s="51"/>
      <c r="I41" s="51"/>
      <c r="J41" s="64"/>
      <c r="K41" s="54"/>
      <c r="L41" s="49"/>
      <c r="M41" s="49"/>
      <c r="N41" s="55">
        <f t="shared" ref="N41:Q41" si="40">D40</f>
        <v>2</v>
      </c>
      <c r="O41" s="55">
        <f t="shared" si="40"/>
        <v>13</v>
      </c>
      <c r="P41" s="55">
        <f t="shared" si="40"/>
        <v>15</v>
      </c>
      <c r="Q41" s="55">
        <f t="shared" si="40"/>
        <v>15</v>
      </c>
      <c r="R41" s="49"/>
      <c r="S41" s="49"/>
      <c r="T41" s="49"/>
      <c r="U41" s="49"/>
      <c r="V41" s="49"/>
      <c r="W41" s="49"/>
      <c r="X41" s="49"/>
      <c r="Y41" s="49"/>
      <c r="Z41" s="49"/>
    </row>
    <row r="42" ht="11.25" customHeight="1">
      <c r="A42" s="59">
        <v>21.0</v>
      </c>
      <c r="B42" s="59" t="str">
        <f>Pools!C5</f>
        <v>Pool C</v>
      </c>
      <c r="C42" s="59" t="str">
        <f>L10</f>
        <v>#3, LAGZDIŅŠ / SPONER</v>
      </c>
      <c r="D42" s="51">
        <f>IF(ISBLANK(E42),"",IF(E42&gt;E43,1,0) + IF(F42&gt;F43,1,0) + IF(G42&gt;G43,1,0))</f>
        <v>2</v>
      </c>
      <c r="E42" s="52">
        <v>12.0</v>
      </c>
      <c r="F42" s="52">
        <v>15.0</v>
      </c>
      <c r="G42" s="52">
        <v>15.0</v>
      </c>
      <c r="H42" s="52" t="s">
        <v>244</v>
      </c>
      <c r="I42" s="51" t="str">
        <f>M34</f>
        <v>#17, NOLL / WEIKERT</v>
      </c>
      <c r="J42" s="53"/>
      <c r="K42" s="54"/>
      <c r="L42" s="49" t="str">
        <f>IF(D42="","Winner Pool C #3",IF(D42=2,C42,C43))</f>
        <v>#3, LAGZDIŅŠ / SPONER</v>
      </c>
      <c r="M42" s="49" t="str">
        <f>IF(D42="","Loser Pool C #3",IF(D42&lt;2,C42,C43))</f>
        <v>#14, MOROSINI / JOVANOVIĆ</v>
      </c>
      <c r="N42" s="55">
        <f t="shared" ref="N42:Q42" si="41">D43</f>
        <v>1</v>
      </c>
      <c r="O42" s="55">
        <f t="shared" si="41"/>
        <v>15</v>
      </c>
      <c r="P42" s="55">
        <f t="shared" si="41"/>
        <v>12</v>
      </c>
      <c r="Q42" s="55">
        <f t="shared" si="41"/>
        <v>6</v>
      </c>
      <c r="R42" s="49"/>
      <c r="S42" s="49"/>
      <c r="T42" s="49"/>
      <c r="U42" s="49"/>
      <c r="V42" s="49"/>
      <c r="W42" s="49"/>
      <c r="X42" s="49"/>
      <c r="Y42" s="49"/>
      <c r="Z42" s="49"/>
    </row>
    <row r="43" ht="11.25" customHeight="1">
      <c r="A43" s="59"/>
      <c r="B43" s="59"/>
      <c r="C43" s="59" t="str">
        <f>L12</f>
        <v>#14, MOROSINI / JOVANOVIĆ</v>
      </c>
      <c r="D43" s="51">
        <f>IF(ISBLANK(E42),"",IF(E42&lt;E43,1,0) + IF(F42&lt;F43,1,0) + IF(G42&lt;G43,1,0))</f>
        <v>1</v>
      </c>
      <c r="E43" s="52">
        <v>15.0</v>
      </c>
      <c r="F43" s="52">
        <v>12.0</v>
      </c>
      <c r="G43" s="52">
        <v>6.0</v>
      </c>
      <c r="H43" s="52"/>
      <c r="I43" s="51"/>
      <c r="J43" s="64"/>
      <c r="K43" s="54"/>
      <c r="L43" s="49"/>
      <c r="M43" s="49"/>
      <c r="N43" s="55">
        <f t="shared" ref="N43:Q43" si="42">D42</f>
        <v>2</v>
      </c>
      <c r="O43" s="55">
        <f t="shared" si="42"/>
        <v>12</v>
      </c>
      <c r="P43" s="55">
        <f t="shared" si="42"/>
        <v>15</v>
      </c>
      <c r="Q43" s="55">
        <f t="shared" si="42"/>
        <v>15</v>
      </c>
      <c r="R43" s="49"/>
      <c r="S43" s="49"/>
      <c r="T43" s="49"/>
      <c r="U43" s="49"/>
      <c r="V43" s="49"/>
      <c r="W43" s="49"/>
      <c r="X43" s="49"/>
      <c r="Y43" s="49"/>
      <c r="Z43" s="49"/>
    </row>
    <row r="44" ht="11.25" customHeight="1">
      <c r="A44" s="59">
        <v>22.0</v>
      </c>
      <c r="B44" s="59" t="str">
        <f>Pools!C5</f>
        <v>Pool C</v>
      </c>
      <c r="C44" s="59" t="str">
        <f>M10</f>
        <v>#30, WEISKIRCHNER / STEINMETZ</v>
      </c>
      <c r="D44" s="51">
        <f>IF(ISBLANK(E44),"",IF(E44&gt;E45,1,0) + IF(F44&gt;F45,1,0) + IF(G44&gt;G45,1,0))</f>
        <v>2</v>
      </c>
      <c r="E44" s="52">
        <v>15.0</v>
      </c>
      <c r="F44" s="52">
        <v>15.0</v>
      </c>
      <c r="G44" s="51"/>
      <c r="H44" s="52" t="s">
        <v>246</v>
      </c>
      <c r="I44" s="51" t="str">
        <f>M36</f>
        <v>#32, FLECHL / OELSCHLÄGEL</v>
      </c>
      <c r="J44" s="53"/>
      <c r="K44" s="54"/>
      <c r="L44" s="49" t="str">
        <f>IF(D44="","Winner Pool C #4",IF(D44=2,C44,C45))</f>
        <v>#30, WEISKIRCHNER / STEINMETZ</v>
      </c>
      <c r="M44" s="49" t="str">
        <f>IF(D44="","Loser Pool C #4",IF(D44&lt;2,C44,C45))</f>
        <v>#19, SUN / LAKOMY</v>
      </c>
      <c r="N44" s="55">
        <f t="shared" ref="N44:Q44" si="43">D45</f>
        <v>0</v>
      </c>
      <c r="O44" s="55">
        <f t="shared" si="43"/>
        <v>9</v>
      </c>
      <c r="P44" s="55">
        <f t="shared" si="43"/>
        <v>10</v>
      </c>
      <c r="Q44" s="55" t="str">
        <f t="shared" si="43"/>
        <v/>
      </c>
      <c r="R44" s="49"/>
      <c r="S44" s="49"/>
      <c r="T44" s="49"/>
      <c r="U44" s="49"/>
      <c r="V44" s="49"/>
      <c r="W44" s="49"/>
      <c r="X44" s="49"/>
      <c r="Y44" s="49"/>
      <c r="Z44" s="49"/>
    </row>
    <row r="45" ht="11.25" customHeight="1">
      <c r="A45" s="59"/>
      <c r="B45" s="59"/>
      <c r="C45" s="59" t="str">
        <f>M12</f>
        <v>#19, SUN / LAKOMY</v>
      </c>
      <c r="D45" s="51">
        <f>IF(ISBLANK(E44),"",IF(E44&lt;E45,1,0) + IF(F44&lt;F45,1,0) + IF(G44&lt;G45,1,0))</f>
        <v>0</v>
      </c>
      <c r="E45" s="52">
        <v>9.0</v>
      </c>
      <c r="F45" s="52">
        <v>10.0</v>
      </c>
      <c r="G45" s="51"/>
      <c r="H45" s="52"/>
      <c r="I45" s="51"/>
      <c r="J45" s="64"/>
      <c r="K45" s="54"/>
      <c r="L45" s="49"/>
      <c r="M45" s="49"/>
      <c r="N45" s="55">
        <f t="shared" ref="N45:Q45" si="44">D44</f>
        <v>2</v>
      </c>
      <c r="O45" s="55">
        <f t="shared" si="44"/>
        <v>15</v>
      </c>
      <c r="P45" s="55">
        <f t="shared" si="44"/>
        <v>15</v>
      </c>
      <c r="Q45" s="55" t="str">
        <f t="shared" si="44"/>
        <v/>
      </c>
      <c r="R45" s="49"/>
      <c r="S45" s="49"/>
      <c r="T45" s="49"/>
      <c r="U45" s="49"/>
      <c r="V45" s="49"/>
      <c r="W45" s="49"/>
      <c r="X45" s="49"/>
      <c r="Y45" s="49"/>
      <c r="Z45" s="49"/>
    </row>
    <row r="46" ht="11.25" customHeight="1">
      <c r="A46" s="60">
        <v>23.0</v>
      </c>
      <c r="B46" s="60" t="str">
        <f>Pools!D5</f>
        <v>Pool D</v>
      </c>
      <c r="C46" s="60" t="str">
        <f>L14</f>
        <v>#4, LEITNER / EDER</v>
      </c>
      <c r="D46" s="51">
        <f>IF(ISBLANK(E46),"",IF(E46&gt;E47,1,0) + IF(F46&gt;F47,1,0) + IF(G46&gt;G47,1,0))</f>
        <v>2</v>
      </c>
      <c r="E46" s="52">
        <v>12.0</v>
      </c>
      <c r="F46" s="52">
        <v>17.0</v>
      </c>
      <c r="G46" s="52">
        <v>15.0</v>
      </c>
      <c r="H46" s="52" t="s">
        <v>247</v>
      </c>
      <c r="I46" s="51" t="str">
        <f>M38</f>
        <v>#2, FÜHRER / SEISER</v>
      </c>
      <c r="J46" s="53"/>
      <c r="K46" s="54"/>
      <c r="L46" s="49" t="str">
        <f>IF(D46="","Winner Pool D #3",IF(D46=2,C46,C47))</f>
        <v>#4, LEITNER / EDER</v>
      </c>
      <c r="M46" s="49" t="str">
        <f>IF(D46="","Loser Pool D #3",IF(D46&lt;2,C46,C47))</f>
        <v>#20, HOFBAUER / BOHACEK</v>
      </c>
      <c r="N46" s="55">
        <f t="shared" ref="N46:Q46" si="45">D47</f>
        <v>1</v>
      </c>
      <c r="O46" s="55">
        <f t="shared" si="45"/>
        <v>15</v>
      </c>
      <c r="P46" s="55">
        <f t="shared" si="45"/>
        <v>15</v>
      </c>
      <c r="Q46" s="55">
        <f t="shared" si="45"/>
        <v>10</v>
      </c>
      <c r="R46" s="49"/>
      <c r="S46" s="49"/>
      <c r="T46" s="49"/>
      <c r="U46" s="49"/>
      <c r="V46" s="49"/>
      <c r="W46" s="49"/>
      <c r="X46" s="49"/>
      <c r="Y46" s="49"/>
      <c r="Z46" s="49"/>
    </row>
    <row r="47" ht="11.25" customHeight="1">
      <c r="A47" s="60"/>
      <c r="B47" s="60"/>
      <c r="C47" s="60" t="str">
        <f>L16</f>
        <v>#20, HOFBAUER / BOHACEK</v>
      </c>
      <c r="D47" s="51">
        <f>IF(ISBLANK(E46),"",IF(E46&lt;E47,1,0) + IF(F46&lt;F47,1,0) + IF(G46&lt;G47,1,0))</f>
        <v>1</v>
      </c>
      <c r="E47" s="52">
        <v>15.0</v>
      </c>
      <c r="F47" s="52">
        <v>15.0</v>
      </c>
      <c r="G47" s="52">
        <v>10.0</v>
      </c>
      <c r="H47" s="51"/>
      <c r="I47" s="51"/>
      <c r="J47" s="64"/>
      <c r="K47" s="54"/>
      <c r="L47" s="49"/>
      <c r="M47" s="49"/>
      <c r="N47" s="55">
        <f t="shared" ref="N47:Q47" si="46">D46</f>
        <v>2</v>
      </c>
      <c r="O47" s="55">
        <f t="shared" si="46"/>
        <v>12</v>
      </c>
      <c r="P47" s="55">
        <f t="shared" si="46"/>
        <v>17</v>
      </c>
      <c r="Q47" s="55">
        <f t="shared" si="46"/>
        <v>15</v>
      </c>
      <c r="R47" s="49"/>
      <c r="S47" s="49"/>
      <c r="T47" s="49"/>
      <c r="U47" s="49"/>
      <c r="V47" s="49"/>
      <c r="W47" s="49"/>
      <c r="X47" s="49"/>
      <c r="Y47" s="49"/>
      <c r="Z47" s="49"/>
    </row>
    <row r="48" ht="11.25" customHeight="1">
      <c r="A48" s="60">
        <v>24.0</v>
      </c>
      <c r="B48" s="60" t="str">
        <f>Pools!D5</f>
        <v>Pool D</v>
      </c>
      <c r="C48" s="60" t="str">
        <f>M14</f>
        <v>#29, CHLUP / FREITTER</v>
      </c>
      <c r="D48" s="51">
        <f>IF(ISBLANK(E48),"",IF(E48&gt;E49,1,0) + IF(F48&gt;F49,1,0) + IF(G48&gt;G49,1,0))</f>
        <v>0</v>
      </c>
      <c r="E48" s="52">
        <v>10.0</v>
      </c>
      <c r="F48" s="52">
        <v>7.0</v>
      </c>
      <c r="G48" s="51"/>
      <c r="H48" s="52" t="s">
        <v>248</v>
      </c>
      <c r="I48" s="51" t="str">
        <f>M40</f>
        <v>#18, KACZMARCZYK / GRAM</v>
      </c>
      <c r="J48" s="53"/>
      <c r="K48" s="54"/>
      <c r="L48" s="49" t="str">
        <f>IF(D48="","Winner Pool D #4",IF(D48=2,C48,C49))</f>
        <v>#13, BARNABA / HOLEČEK</v>
      </c>
      <c r="M48" s="49" t="str">
        <f>IF(D48="","Loser Pool D #4",IF(D48&lt;2,C48,C49))</f>
        <v>#29, CHLUP / FREITTER</v>
      </c>
      <c r="N48" s="55">
        <f t="shared" ref="N48:Q48" si="47">D49</f>
        <v>2</v>
      </c>
      <c r="O48" s="55">
        <f t="shared" si="47"/>
        <v>15</v>
      </c>
      <c r="P48" s="55">
        <f t="shared" si="47"/>
        <v>15</v>
      </c>
      <c r="Q48" s="55" t="str">
        <f t="shared" si="47"/>
        <v/>
      </c>
      <c r="R48" s="49"/>
      <c r="S48" s="49"/>
      <c r="T48" s="49"/>
      <c r="U48" s="49"/>
      <c r="V48" s="49"/>
      <c r="W48" s="49"/>
      <c r="X48" s="49"/>
      <c r="Y48" s="49"/>
      <c r="Z48" s="49"/>
    </row>
    <row r="49" ht="11.25" customHeight="1">
      <c r="A49" s="60"/>
      <c r="B49" s="60"/>
      <c r="C49" s="60" t="str">
        <f>M16</f>
        <v>#13, BARNABA / HOLEČEK</v>
      </c>
      <c r="D49" s="51">
        <f>IF(ISBLANK(E48),"",IF(E48&lt;E49,1,0) + IF(F48&lt;F49,1,0) + IF(G48&lt;G49,1,0))</f>
        <v>2</v>
      </c>
      <c r="E49" s="52">
        <v>15.0</v>
      </c>
      <c r="F49" s="52">
        <v>15.0</v>
      </c>
      <c r="G49" s="51"/>
      <c r="H49" s="51"/>
      <c r="I49" s="51"/>
      <c r="J49" s="64"/>
      <c r="K49" s="54"/>
      <c r="L49" s="49"/>
      <c r="M49" s="49"/>
      <c r="N49" s="55">
        <f t="shared" ref="N49:Q49" si="48">D48</f>
        <v>0</v>
      </c>
      <c r="O49" s="55">
        <f t="shared" si="48"/>
        <v>10</v>
      </c>
      <c r="P49" s="55">
        <f t="shared" si="48"/>
        <v>7</v>
      </c>
      <c r="Q49" s="55" t="str">
        <f t="shared" si="48"/>
        <v/>
      </c>
      <c r="R49" s="49"/>
      <c r="S49" s="49"/>
      <c r="T49" s="49"/>
      <c r="U49" s="49"/>
      <c r="V49" s="49"/>
      <c r="W49" s="49"/>
      <c r="X49" s="49"/>
      <c r="Y49" s="49"/>
      <c r="Z49" s="49"/>
    </row>
    <row r="50" ht="11.25" customHeight="1">
      <c r="A50" s="61">
        <v>25.0</v>
      </c>
      <c r="B50" s="61" t="str">
        <f>Pools!E5</f>
        <v>Pool E</v>
      </c>
      <c r="C50" s="61" t="str">
        <f>L18</f>
        <v>#5, WESP / PFEIFFER</v>
      </c>
      <c r="D50" s="51">
        <f>IF(ISBLANK(E50),"",IF(E50&gt;E51,1,0) + IF(F50&gt;F51,1,0) + IF(G50&gt;G51,1,0))</f>
        <v>1</v>
      </c>
      <c r="E50" s="52">
        <v>13.0</v>
      </c>
      <c r="F50" s="52">
        <v>15.0</v>
      </c>
      <c r="G50" s="52">
        <v>12.0</v>
      </c>
      <c r="H50" s="52" t="s">
        <v>244</v>
      </c>
      <c r="I50" s="51" t="str">
        <f>M42</f>
        <v>#14, MOROSINI / JOVANOVIĆ</v>
      </c>
      <c r="J50" s="53"/>
      <c r="K50" s="54"/>
      <c r="L50" s="49" t="str">
        <f>IF(D50="","Winner Pool E #3",IF(D50=2,C50,C51))</f>
        <v>#12, ALBRECHT / HRADECSNI</v>
      </c>
      <c r="M50" s="49" t="str">
        <f>IF(D50="","Loser Pool E #3",IF(D50&lt;2,C50,C51))</f>
        <v>#5, WESP / PFEIFFER</v>
      </c>
      <c r="N50" s="55">
        <f t="shared" ref="N50:Q50" si="49">D51</f>
        <v>2</v>
      </c>
      <c r="O50" s="55">
        <f t="shared" si="49"/>
        <v>15</v>
      </c>
      <c r="P50" s="55">
        <f t="shared" si="49"/>
        <v>12</v>
      </c>
      <c r="Q50" s="55">
        <f t="shared" si="49"/>
        <v>15</v>
      </c>
      <c r="R50" s="49"/>
      <c r="S50" s="49"/>
      <c r="T50" s="49"/>
      <c r="U50" s="49"/>
      <c r="V50" s="49"/>
      <c r="W50" s="49"/>
      <c r="X50" s="49"/>
      <c r="Y50" s="49"/>
      <c r="Z50" s="49"/>
    </row>
    <row r="51" ht="11.25" customHeight="1">
      <c r="A51" s="61"/>
      <c r="B51" s="61"/>
      <c r="C51" s="61" t="str">
        <f>L20</f>
        <v>#12, ALBRECHT / HRADECSNI</v>
      </c>
      <c r="D51" s="51">
        <f>IF(ISBLANK(E50),"",IF(E50&lt;E51,1,0) + IF(F50&lt;F51,1,0) + IF(G50&lt;G51,1,0))</f>
        <v>2</v>
      </c>
      <c r="E51" s="52">
        <v>15.0</v>
      </c>
      <c r="F51" s="52">
        <v>12.0</v>
      </c>
      <c r="G51" s="52">
        <v>15.0</v>
      </c>
      <c r="H51" s="52"/>
      <c r="I51" s="51"/>
      <c r="J51" s="64"/>
      <c r="K51" s="54"/>
      <c r="L51" s="49"/>
      <c r="M51" s="49"/>
      <c r="N51" s="55">
        <f t="shared" ref="N51:Q51" si="50">D50</f>
        <v>1</v>
      </c>
      <c r="O51" s="55">
        <f t="shared" si="50"/>
        <v>13</v>
      </c>
      <c r="P51" s="55">
        <f t="shared" si="50"/>
        <v>15</v>
      </c>
      <c r="Q51" s="55">
        <f t="shared" si="50"/>
        <v>12</v>
      </c>
      <c r="R51" s="49"/>
      <c r="S51" s="49"/>
      <c r="T51" s="49"/>
      <c r="U51" s="49"/>
      <c r="V51" s="49"/>
      <c r="W51" s="49"/>
      <c r="X51" s="49"/>
      <c r="Y51" s="49"/>
      <c r="Z51" s="49"/>
    </row>
    <row r="52" ht="11.25" customHeight="1">
      <c r="A52" s="61">
        <v>26.0</v>
      </c>
      <c r="B52" s="61" t="str">
        <f>Pools!E5</f>
        <v>Pool E</v>
      </c>
      <c r="C52" s="61" t="str">
        <f>M18</f>
        <v>#28, DESSEWFFY / ZABLOUDIL</v>
      </c>
      <c r="D52" s="51">
        <f>IF(ISBLANK(E52),"",IF(E52&gt;E53,1,0) + IF(F52&gt;F53,1,0) + IF(G52&gt;G53,1,0))</f>
        <v>2</v>
      </c>
      <c r="E52" s="52">
        <v>15.0</v>
      </c>
      <c r="F52" s="52">
        <v>8.0</v>
      </c>
      <c r="G52" s="52">
        <v>15.0</v>
      </c>
      <c r="H52" s="52" t="s">
        <v>246</v>
      </c>
      <c r="I52" s="51" t="str">
        <f>M44</f>
        <v>#19, SUN / LAKOMY</v>
      </c>
      <c r="J52" s="53"/>
      <c r="K52" s="54"/>
      <c r="L52" s="49" t="str">
        <f>IF(D52="","Winner Pool E #4",IF(D52=2,C52,C53))</f>
        <v>#28, DESSEWFFY / ZABLOUDIL</v>
      </c>
      <c r="M52" s="49" t="str">
        <f>IF(D52="","Loser Pool E #4",IF(D52&lt;2,C52,C53))</f>
        <v>#21, JOBST / GAPPNIG</v>
      </c>
      <c r="N52" s="55">
        <f t="shared" ref="N52:Q52" si="51">D53</f>
        <v>1</v>
      </c>
      <c r="O52" s="55">
        <f t="shared" si="51"/>
        <v>10</v>
      </c>
      <c r="P52" s="55">
        <f t="shared" si="51"/>
        <v>15</v>
      </c>
      <c r="Q52" s="55">
        <f t="shared" si="51"/>
        <v>5</v>
      </c>
      <c r="R52" s="49"/>
      <c r="S52" s="49"/>
      <c r="T52" s="49"/>
      <c r="U52" s="49"/>
      <c r="V52" s="49"/>
      <c r="W52" s="49"/>
      <c r="X52" s="49"/>
      <c r="Y52" s="49"/>
      <c r="Z52" s="49"/>
    </row>
    <row r="53" ht="11.25" customHeight="1">
      <c r="A53" s="61"/>
      <c r="B53" s="61"/>
      <c r="C53" s="61" t="str">
        <f>M20</f>
        <v>#21, JOBST / GAPPNIG</v>
      </c>
      <c r="D53" s="51">
        <f>IF(ISBLANK(E52),"",IF(E52&lt;E53,1,0) + IF(F52&lt;F53,1,0) + IF(G52&lt;G53,1,0))</f>
        <v>1</v>
      </c>
      <c r="E53" s="52">
        <v>10.0</v>
      </c>
      <c r="F53" s="52">
        <v>15.0</v>
      </c>
      <c r="G53" s="52">
        <v>5.0</v>
      </c>
      <c r="H53" s="52"/>
      <c r="I53" s="51"/>
      <c r="J53" s="64"/>
      <c r="K53" s="54"/>
      <c r="L53" s="49"/>
      <c r="M53" s="49"/>
      <c r="N53" s="55">
        <f t="shared" ref="N53:Q53" si="52">D52</f>
        <v>2</v>
      </c>
      <c r="O53" s="55">
        <f t="shared" si="52"/>
        <v>15</v>
      </c>
      <c r="P53" s="55">
        <f t="shared" si="52"/>
        <v>8</v>
      </c>
      <c r="Q53" s="55">
        <f t="shared" si="52"/>
        <v>15</v>
      </c>
      <c r="R53" s="49"/>
      <c r="S53" s="49"/>
      <c r="T53" s="49"/>
      <c r="U53" s="49"/>
      <c r="V53" s="49"/>
      <c r="W53" s="49"/>
      <c r="X53" s="49"/>
      <c r="Y53" s="49"/>
      <c r="Z53" s="49"/>
    </row>
    <row r="54" ht="11.25" customHeight="1">
      <c r="A54" s="62">
        <v>27.0</v>
      </c>
      <c r="B54" s="62" t="str">
        <f>Pools!F5</f>
        <v>Pool F</v>
      </c>
      <c r="C54" s="62" t="str">
        <f>L22</f>
        <v>#6, CUBASCH / NEHULIAIEV</v>
      </c>
      <c r="D54" s="51">
        <f>IF(ISBLANK(E54),"",IF(E54&gt;E55,1,0) + IF(F54&gt;F55,1,0) + IF(G54&gt;G55,1,0))</f>
        <v>2</v>
      </c>
      <c r="E54" s="52">
        <v>15.0</v>
      </c>
      <c r="F54" s="52">
        <v>12.0</v>
      </c>
      <c r="G54" s="52">
        <v>15.0</v>
      </c>
      <c r="H54" s="52" t="s">
        <v>247</v>
      </c>
      <c r="I54" s="51" t="str">
        <f>M46</f>
        <v>#20, HOFBAUER / BOHACEK</v>
      </c>
      <c r="J54" s="53"/>
      <c r="K54" s="54"/>
      <c r="L54" s="49" t="str">
        <f>IF(D54="","Winner Pool F #3",IF(D54=2,C54,C55))</f>
        <v>#6, CUBASCH / NEHULIAIEV</v>
      </c>
      <c r="M54" s="49" t="str">
        <f>IF(D54="","Loser Pool F #3",IF(D54&lt;2,C54,C55))</f>
        <v>#11, TKACHENKO / KURZMANN</v>
      </c>
      <c r="N54" s="55">
        <f t="shared" ref="N54:Q54" si="53">D55</f>
        <v>1</v>
      </c>
      <c r="O54" s="55">
        <f t="shared" si="53"/>
        <v>12</v>
      </c>
      <c r="P54" s="55">
        <f t="shared" si="53"/>
        <v>15</v>
      </c>
      <c r="Q54" s="55">
        <f t="shared" si="53"/>
        <v>10</v>
      </c>
      <c r="R54" s="49"/>
      <c r="S54" s="49"/>
      <c r="T54" s="49"/>
      <c r="U54" s="49"/>
      <c r="V54" s="49"/>
      <c r="W54" s="49"/>
      <c r="X54" s="49"/>
      <c r="Y54" s="49"/>
      <c r="Z54" s="49"/>
    </row>
    <row r="55" ht="11.25" customHeight="1">
      <c r="A55" s="62"/>
      <c r="B55" s="62"/>
      <c r="C55" s="62" t="str">
        <f>L24</f>
        <v>#11, TKACHENKO / KURZMANN</v>
      </c>
      <c r="D55" s="51">
        <f>IF(ISBLANK(E54),"",IF(E54&lt;E55,1,0) + IF(F54&lt;F55,1,0) + IF(G54&lt;G55,1,0))</f>
        <v>1</v>
      </c>
      <c r="E55" s="52">
        <v>12.0</v>
      </c>
      <c r="F55" s="52">
        <v>15.0</v>
      </c>
      <c r="G55" s="52">
        <v>10.0</v>
      </c>
      <c r="H55" s="51"/>
      <c r="I55" s="51"/>
      <c r="J55" s="64"/>
      <c r="K55" s="54"/>
      <c r="L55" s="49"/>
      <c r="M55" s="49"/>
      <c r="N55" s="55">
        <f t="shared" ref="N55:Q55" si="54">D54</f>
        <v>2</v>
      </c>
      <c r="O55" s="55">
        <f t="shared" si="54"/>
        <v>15</v>
      </c>
      <c r="P55" s="55">
        <f t="shared" si="54"/>
        <v>12</v>
      </c>
      <c r="Q55" s="55">
        <f t="shared" si="54"/>
        <v>15</v>
      </c>
      <c r="R55" s="49"/>
      <c r="S55" s="49"/>
      <c r="T55" s="49"/>
      <c r="U55" s="49"/>
      <c r="V55" s="49"/>
      <c r="W55" s="49"/>
      <c r="X55" s="49"/>
      <c r="Y55" s="49"/>
      <c r="Z55" s="49"/>
    </row>
    <row r="56" ht="11.25" customHeight="1">
      <c r="A56" s="62">
        <v>28.0</v>
      </c>
      <c r="B56" s="62" t="str">
        <f>Pools!F5</f>
        <v>Pool F</v>
      </c>
      <c r="C56" s="62" t="str">
        <f>M22</f>
        <v>#27, MALICKI / FLORIÁN</v>
      </c>
      <c r="D56" s="51">
        <f>IF(ISBLANK(E56),"",IF(E56&gt;E57,1,0) + IF(F56&gt;F57,1,0) + IF(G56&gt;G57,1,0))</f>
        <v>0</v>
      </c>
      <c r="E56" s="52">
        <v>6.0</v>
      </c>
      <c r="F56" s="52">
        <v>16.0</v>
      </c>
      <c r="G56" s="51"/>
      <c r="H56" s="52" t="s">
        <v>248</v>
      </c>
      <c r="I56" s="51" t="str">
        <f>M48</f>
        <v>#29, CHLUP / FREITTER</v>
      </c>
      <c r="J56" s="53"/>
      <c r="K56" s="54"/>
      <c r="L56" s="49" t="str">
        <f>IF(D56="","Winner Pool F #4",IF(D56=2,C56,C57))</f>
        <v>#22, SCHEBELLA / GRAF</v>
      </c>
      <c r="M56" s="49" t="str">
        <f>IF(D56="","Loser Pool F #4",IF(D56&lt;2,C56,C57))</f>
        <v>#27, MALICKI / FLORIÁN</v>
      </c>
      <c r="N56" s="55">
        <f t="shared" ref="N56:Q56" si="55">D57</f>
        <v>2</v>
      </c>
      <c r="O56" s="55">
        <f t="shared" si="55"/>
        <v>15</v>
      </c>
      <c r="P56" s="55">
        <f t="shared" si="55"/>
        <v>18</v>
      </c>
      <c r="Q56" s="55" t="str">
        <f t="shared" si="55"/>
        <v/>
      </c>
      <c r="R56" s="49"/>
      <c r="S56" s="49"/>
      <c r="T56" s="49"/>
      <c r="U56" s="49"/>
      <c r="V56" s="49"/>
      <c r="W56" s="49"/>
      <c r="X56" s="49"/>
      <c r="Y56" s="49"/>
      <c r="Z56" s="49"/>
    </row>
    <row r="57" ht="11.25" customHeight="1">
      <c r="A57" s="62"/>
      <c r="B57" s="62"/>
      <c r="C57" s="62" t="str">
        <f>M24</f>
        <v>#22, SCHEBELLA / GRAF</v>
      </c>
      <c r="D57" s="51">
        <f>IF(ISBLANK(E56),"",IF(E56&lt;E57,1,0) + IF(F56&lt;F57,1,0) + IF(G56&lt;G57,1,0))</f>
        <v>2</v>
      </c>
      <c r="E57" s="52">
        <v>15.0</v>
      </c>
      <c r="F57" s="52">
        <v>18.0</v>
      </c>
      <c r="G57" s="51"/>
      <c r="H57" s="51"/>
      <c r="I57" s="51"/>
      <c r="J57" s="64"/>
      <c r="K57" s="54"/>
      <c r="L57" s="49"/>
      <c r="M57" s="49"/>
      <c r="N57" s="55">
        <f t="shared" ref="N57:Q57" si="56">D56</f>
        <v>0</v>
      </c>
      <c r="O57" s="55">
        <f t="shared" si="56"/>
        <v>6</v>
      </c>
      <c r="P57" s="55">
        <f t="shared" si="56"/>
        <v>16</v>
      </c>
      <c r="Q57" s="55" t="str">
        <f t="shared" si="56"/>
        <v/>
      </c>
      <c r="R57" s="49"/>
      <c r="S57" s="49"/>
      <c r="T57" s="49"/>
      <c r="U57" s="49"/>
      <c r="V57" s="49"/>
      <c r="W57" s="49"/>
      <c r="X57" s="49"/>
      <c r="Y57" s="49"/>
      <c r="Z57" s="49"/>
    </row>
    <row r="58" ht="11.25" customHeight="1">
      <c r="A58" s="63">
        <v>29.0</v>
      </c>
      <c r="B58" s="63" t="s">
        <v>229</v>
      </c>
      <c r="C58" s="63" t="str">
        <f>L26</f>
        <v>#7, HOHENAUER / CARMANN</v>
      </c>
      <c r="D58" s="51">
        <f>IF(ISBLANK(E58),"",IF(E58&gt;E59,1,0) + IF(F58&gt;F59,1,0) + IF(G58&gt;G59,1,0))</f>
        <v>1</v>
      </c>
      <c r="E58" s="52">
        <v>15.0</v>
      </c>
      <c r="F58" s="52">
        <v>13.0</v>
      </c>
      <c r="G58" s="52">
        <v>12.0</v>
      </c>
      <c r="H58" s="52" t="s">
        <v>244</v>
      </c>
      <c r="I58" s="51" t="str">
        <f>M50</f>
        <v>#5, WESP / PFEIFFER</v>
      </c>
      <c r="J58" s="66"/>
      <c r="K58" s="54"/>
      <c r="L58" s="49" t="str">
        <f>IF(D58="","Winner Pool G #3",IF(D58=2,C58,C59))</f>
        <v>#10, JANOTTA / OFNER</v>
      </c>
      <c r="M58" s="49" t="str">
        <f>IF(D58="","Loser Pool G #3",IF(D58&lt;2,C58,C59))</f>
        <v>#7, HOHENAUER / CARMANN</v>
      </c>
      <c r="N58" s="55">
        <f t="shared" ref="N58:Q58" si="57">D59</f>
        <v>2</v>
      </c>
      <c r="O58" s="55">
        <f t="shared" si="57"/>
        <v>12</v>
      </c>
      <c r="P58" s="55">
        <f t="shared" si="57"/>
        <v>15</v>
      </c>
      <c r="Q58" s="55">
        <f t="shared" si="57"/>
        <v>13</v>
      </c>
      <c r="R58" s="49"/>
      <c r="S58" s="49"/>
      <c r="T58" s="49"/>
      <c r="U58" s="49"/>
      <c r="V58" s="49"/>
      <c r="W58" s="49"/>
      <c r="X58" s="49"/>
      <c r="Y58" s="49"/>
      <c r="Z58" s="49"/>
    </row>
    <row r="59" ht="11.25" customHeight="1">
      <c r="A59" s="63"/>
      <c r="B59" s="63"/>
      <c r="C59" s="63" t="str">
        <f>L28</f>
        <v>#10, JANOTTA / OFNER</v>
      </c>
      <c r="D59" s="51">
        <f>IF(ISBLANK(E58),"",IF(E58&lt;E59,1,0) + IF(F58&lt;F59,1,0) + IF(G58&lt;G59,1,0))</f>
        <v>2</v>
      </c>
      <c r="E59" s="52">
        <v>12.0</v>
      </c>
      <c r="F59" s="52">
        <v>15.0</v>
      </c>
      <c r="G59" s="52">
        <v>13.0</v>
      </c>
      <c r="H59" s="52"/>
      <c r="I59" s="51"/>
      <c r="J59" s="54"/>
      <c r="K59" s="54"/>
      <c r="L59" s="49"/>
      <c r="M59" s="49"/>
      <c r="N59" s="55">
        <f t="shared" ref="N59:Q59" si="58">D58</f>
        <v>1</v>
      </c>
      <c r="O59" s="55">
        <f t="shared" si="58"/>
        <v>15</v>
      </c>
      <c r="P59" s="55">
        <f t="shared" si="58"/>
        <v>13</v>
      </c>
      <c r="Q59" s="55">
        <f t="shared" si="58"/>
        <v>12</v>
      </c>
      <c r="R59" s="49"/>
      <c r="S59" s="49"/>
      <c r="T59" s="49"/>
      <c r="U59" s="49"/>
      <c r="V59" s="49"/>
      <c r="W59" s="49"/>
      <c r="X59" s="49"/>
      <c r="Y59" s="49"/>
      <c r="Z59" s="49"/>
    </row>
    <row r="60" ht="11.25" customHeight="1">
      <c r="A60" s="63">
        <v>30.0</v>
      </c>
      <c r="B60" s="63" t="s">
        <v>229</v>
      </c>
      <c r="C60" s="63" t="str">
        <f>M26</f>
        <v>#26, TIWALD / ALTENRIEDERER</v>
      </c>
      <c r="D60" s="51">
        <f>IF(ISBLANK(E60),"",IF(E60&gt;E61,1,0) + IF(F60&gt;F61,1,0) + IF(G60&gt;G61,1,0))</f>
        <v>1</v>
      </c>
      <c r="E60" s="52">
        <v>15.0</v>
      </c>
      <c r="F60" s="52">
        <v>12.0</v>
      </c>
      <c r="G60" s="52">
        <v>5.0</v>
      </c>
      <c r="H60" s="52" t="s">
        <v>246</v>
      </c>
      <c r="I60" s="51" t="str">
        <f>M52</f>
        <v>#21, JOBST / GAPPNIG</v>
      </c>
      <c r="J60" s="66"/>
      <c r="K60" s="54"/>
      <c r="L60" s="49" t="str">
        <f>IF(D60="","Winner Pool G #4",IF(D60=2,C60,C61))</f>
        <v>#23, LANGER / SAFTIUK</v>
      </c>
      <c r="M60" s="49" t="str">
        <f>IF(D60="","Loser Pool G #4",IF(D60&lt;2,C60,C61))</f>
        <v>#26, TIWALD / ALTENRIEDERER</v>
      </c>
      <c r="N60" s="55">
        <f t="shared" ref="N60:Q60" si="59">D61</f>
        <v>2</v>
      </c>
      <c r="O60" s="55">
        <f t="shared" si="59"/>
        <v>12</v>
      </c>
      <c r="P60" s="55">
        <f t="shared" si="59"/>
        <v>15</v>
      </c>
      <c r="Q60" s="55">
        <f t="shared" si="59"/>
        <v>15</v>
      </c>
      <c r="R60" s="49"/>
      <c r="S60" s="49"/>
      <c r="T60" s="49"/>
      <c r="U60" s="49"/>
      <c r="V60" s="49"/>
      <c r="W60" s="49"/>
      <c r="X60" s="49"/>
      <c r="Y60" s="49"/>
      <c r="Z60" s="49"/>
    </row>
    <row r="61" ht="11.25" customHeight="1">
      <c r="A61" s="63"/>
      <c r="B61" s="63"/>
      <c r="C61" s="63" t="str">
        <f>M28</f>
        <v>#23, LANGER / SAFTIUK</v>
      </c>
      <c r="D61" s="51">
        <f>IF(ISBLANK(E60),"",IF(E60&lt;E61,1,0) + IF(F60&lt;F61,1,0) + IF(G60&lt;G61,1,0))</f>
        <v>2</v>
      </c>
      <c r="E61" s="52">
        <v>12.0</v>
      </c>
      <c r="F61" s="52">
        <v>15.0</v>
      </c>
      <c r="G61" s="52">
        <v>15.0</v>
      </c>
      <c r="H61" s="52"/>
      <c r="I61" s="51"/>
      <c r="J61" s="54"/>
      <c r="K61" s="54"/>
      <c r="L61" s="49"/>
      <c r="M61" s="49"/>
      <c r="N61" s="55">
        <f t="shared" ref="N61:Q61" si="60">D60</f>
        <v>1</v>
      </c>
      <c r="O61" s="55">
        <f t="shared" si="60"/>
        <v>15</v>
      </c>
      <c r="P61" s="55">
        <f t="shared" si="60"/>
        <v>12</v>
      </c>
      <c r="Q61" s="55">
        <f t="shared" si="60"/>
        <v>5</v>
      </c>
      <c r="R61" s="49"/>
      <c r="S61" s="49"/>
      <c r="T61" s="49"/>
      <c r="U61" s="49"/>
      <c r="V61" s="49"/>
      <c r="W61" s="49"/>
      <c r="X61" s="49"/>
      <c r="Y61" s="49"/>
      <c r="Z61" s="49"/>
    </row>
    <row r="62" ht="11.25" customHeight="1">
      <c r="A62" s="65">
        <v>31.0</v>
      </c>
      <c r="B62" s="65" t="s">
        <v>230</v>
      </c>
      <c r="C62" s="65" t="str">
        <f>L30</f>
        <v>#8, SCHEUCHER / BAUER</v>
      </c>
      <c r="D62" s="51">
        <f>IF(ISBLANK(E62),"",IF(E62&gt;E63,1,0) + IF(F62&gt;F63,1,0) + IF(G62&gt;G63,1,0))</f>
        <v>2</v>
      </c>
      <c r="E62" s="52">
        <v>15.0</v>
      </c>
      <c r="F62" s="52">
        <v>8.0</v>
      </c>
      <c r="G62" s="52">
        <v>15.0</v>
      </c>
      <c r="H62" s="52" t="s">
        <v>247</v>
      </c>
      <c r="I62" s="51" t="str">
        <f>M54</f>
        <v>#11, TKACHENKO / KURZMANN</v>
      </c>
      <c r="J62" s="66"/>
      <c r="K62" s="54"/>
      <c r="L62" s="49" t="str">
        <f>IF(D62="","Winner Pool H #3",IF(D62=2,C62,C63))</f>
        <v>#8, SCHEUCHER / BAUER</v>
      </c>
      <c r="M62" s="49" t="str">
        <f>IF(D62="","Loser Pool H #3",IF(D62&lt;2,C62,C63))</f>
        <v>#9, HARTEL / SANDNER</v>
      </c>
      <c r="N62" s="55">
        <f t="shared" ref="N62:Q62" si="61">D63</f>
        <v>1</v>
      </c>
      <c r="O62" s="55">
        <f t="shared" si="61"/>
        <v>13</v>
      </c>
      <c r="P62" s="55">
        <f t="shared" si="61"/>
        <v>15</v>
      </c>
      <c r="Q62" s="55">
        <f t="shared" si="61"/>
        <v>12</v>
      </c>
      <c r="R62" s="49"/>
      <c r="S62" s="49"/>
      <c r="T62" s="49"/>
      <c r="U62" s="49"/>
      <c r="V62" s="49"/>
      <c r="W62" s="49"/>
      <c r="X62" s="49"/>
      <c r="Y62" s="49"/>
      <c r="Z62" s="49"/>
    </row>
    <row r="63" ht="11.25" customHeight="1">
      <c r="A63" s="65"/>
      <c r="B63" s="65"/>
      <c r="C63" s="65" t="str">
        <f>L32</f>
        <v>#9, HARTEL / SANDNER</v>
      </c>
      <c r="D63" s="51">
        <f>IF(ISBLANK(E62),"",IF(E62&lt;E63,1,0) + IF(F62&lt;F63,1,0) + IF(G62&lt;G63,1,0))</f>
        <v>1</v>
      </c>
      <c r="E63" s="52">
        <v>13.0</v>
      </c>
      <c r="F63" s="52">
        <v>15.0</v>
      </c>
      <c r="G63" s="52">
        <v>12.0</v>
      </c>
      <c r="H63" s="51"/>
      <c r="I63" s="51"/>
      <c r="J63" s="54"/>
      <c r="K63" s="54"/>
      <c r="L63" s="49"/>
      <c r="M63" s="49"/>
      <c r="N63" s="55">
        <f t="shared" ref="N63:Q63" si="62">D62</f>
        <v>2</v>
      </c>
      <c r="O63" s="55">
        <f t="shared" si="62"/>
        <v>15</v>
      </c>
      <c r="P63" s="55">
        <f t="shared" si="62"/>
        <v>8</v>
      </c>
      <c r="Q63" s="55">
        <f t="shared" si="62"/>
        <v>15</v>
      </c>
      <c r="R63" s="49"/>
      <c r="S63" s="49"/>
      <c r="T63" s="49"/>
      <c r="U63" s="49"/>
      <c r="V63" s="49"/>
      <c r="W63" s="49"/>
      <c r="X63" s="49"/>
      <c r="Y63" s="49"/>
      <c r="Z63" s="49"/>
    </row>
    <row r="64" ht="11.25" customHeight="1">
      <c r="A64" s="65">
        <v>32.0</v>
      </c>
      <c r="B64" s="65" t="s">
        <v>230</v>
      </c>
      <c r="C64" s="65" t="str">
        <f>M30</f>
        <v>#25, EICHINGER / REISS</v>
      </c>
      <c r="D64" s="51">
        <f>IF(ISBLANK(E64),"",IF(E64&gt;E65,1,0) + IF(F64&gt;F65,1,0) + IF(G64&gt;G65,1,0))</f>
        <v>2</v>
      </c>
      <c r="E64" s="52">
        <v>15.0</v>
      </c>
      <c r="F64" s="52">
        <v>15.0</v>
      </c>
      <c r="G64" s="51"/>
      <c r="H64" s="52" t="s">
        <v>248</v>
      </c>
      <c r="I64" s="51" t="str">
        <f>M56</f>
        <v>#27, MALICKI / FLORIÁN</v>
      </c>
      <c r="J64" s="66"/>
      <c r="K64" s="54"/>
      <c r="L64" s="49" t="str">
        <f>IF(D64="","Winner Pool H #4",IF(D64=2,C64,C65))</f>
        <v>#25, EICHINGER / REISS</v>
      </c>
      <c r="M64" s="49" t="str">
        <f>IF(D64="","Loser Pool G #4",IF(D64&lt;2,C64,C65))</f>
        <v>#24, LEPIC / VUKOVIC</v>
      </c>
      <c r="N64" s="55">
        <f t="shared" ref="N64:Q64" si="63">D65</f>
        <v>0</v>
      </c>
      <c r="O64" s="55">
        <f t="shared" si="63"/>
        <v>0</v>
      </c>
      <c r="P64" s="55">
        <f t="shared" si="63"/>
        <v>0</v>
      </c>
      <c r="Q64" s="55" t="str">
        <f t="shared" si="63"/>
        <v/>
      </c>
      <c r="R64" s="49"/>
      <c r="S64" s="49"/>
      <c r="T64" s="49"/>
      <c r="U64" s="49"/>
      <c r="V64" s="49"/>
      <c r="W64" s="49"/>
      <c r="X64" s="49"/>
      <c r="Y64" s="49"/>
      <c r="Z64" s="49"/>
    </row>
    <row r="65" ht="11.25" customHeight="1">
      <c r="A65" s="65"/>
      <c r="B65" s="65"/>
      <c r="C65" s="65" t="str">
        <f>M32</f>
        <v>#24, LEPIC / VUKOVIC</v>
      </c>
      <c r="D65" s="51">
        <f>IF(ISBLANK(E64),"",IF(E64&lt;E65,1,0) + IF(F64&lt;F65,1,0) + IF(G64&lt;G65,1,0))</f>
        <v>0</v>
      </c>
      <c r="E65" s="52">
        <v>0.0</v>
      </c>
      <c r="F65" s="52">
        <v>0.0</v>
      </c>
      <c r="G65" s="51"/>
      <c r="H65" s="51"/>
      <c r="I65" s="51"/>
      <c r="J65" s="54"/>
      <c r="K65" s="54"/>
      <c r="L65" s="49"/>
      <c r="M65" s="49"/>
      <c r="N65" s="55">
        <f t="shared" ref="N65:Q65" si="64">D64</f>
        <v>2</v>
      </c>
      <c r="O65" s="55">
        <f t="shared" si="64"/>
        <v>15</v>
      </c>
      <c r="P65" s="55">
        <f t="shared" si="64"/>
        <v>15</v>
      </c>
      <c r="Q65" s="55" t="str">
        <f t="shared" si="64"/>
        <v/>
      </c>
      <c r="R65" s="56" t="s">
        <v>250</v>
      </c>
      <c r="S65" s="49"/>
      <c r="T65" s="49"/>
      <c r="U65" s="49"/>
      <c r="V65" s="49"/>
      <c r="W65" s="49"/>
      <c r="X65" s="49"/>
      <c r="Y65" s="49"/>
      <c r="Z65" s="49"/>
    </row>
    <row r="66" ht="11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1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1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11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1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11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11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11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11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11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11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11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11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1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1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1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1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1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1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1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1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1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1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1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1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1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1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1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1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1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1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1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11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11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11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11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11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11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11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11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11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11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11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11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11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11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11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11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11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11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11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11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11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11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11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11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11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1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11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11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11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11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11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11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11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11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11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11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11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11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11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1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1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1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1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1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11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11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11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11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11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11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1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1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11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11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11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11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11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1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11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11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11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11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11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11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1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1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1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1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1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1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1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1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1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1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1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1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1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1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1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1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1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1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1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1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1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1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1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1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1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1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1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1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1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1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1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1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1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1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1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1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1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1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1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1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1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1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1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1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1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1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1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1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1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1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1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1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1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1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1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1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1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1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1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1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1.2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1.2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1.2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1.2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1.2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1.2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1.2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1.2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1.2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1.2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1.2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1.2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1.2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1.2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1.2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1.2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1.2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1.2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1.2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1.2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1.2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1.2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1.2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1.2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1.2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1.2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1.2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1.2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1.2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1.2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1.2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1.2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1.2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1.2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1.2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1.2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1.2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1.2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1.2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1.2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1.2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1.2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1.2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1.2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1.2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1.2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1.2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1.2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1.2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1.2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1.2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1.2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1.2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1.2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1.2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1.2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1.2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1.2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1.2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1.2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1.2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1.2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1.2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1.2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1.2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1.2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1.2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1.2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1.2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1.2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1.2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1.2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1.2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1.2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1.2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1.2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1.2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1.2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1.2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1.2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1.2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1.2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1.2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1.2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1.2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1.2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1.2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1.2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1.2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1.2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1.2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1.2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1.2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1.2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1.2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1.2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1.2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1.2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1.2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1.2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1.2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1.2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1.2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1.2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1.2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1.2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1.2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1.2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1.2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1.2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1.2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1.2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1.2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1.2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1.2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1.2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1.2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1.2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1.2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1.2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1.2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1.2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1.2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1.2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1.2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1.2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1.2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1.2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1.2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1.2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1.2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1.2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1.2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1.2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1.2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1.2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1.2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1.2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1.2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1.2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1.2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1.2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1.2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1.2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1.2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1.2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1.2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1.2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1.2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1.2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1.2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1.2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1.2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1.2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1.2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1.2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1.2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1.2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1.2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1.2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1.2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1.2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1.2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1.2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1.2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1.2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1.2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1.2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1.2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1.2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1.2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1.2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1.2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1.2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1.2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1.2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1.2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1.2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1.2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1.2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1.2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1.2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1.2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1.2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1.2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1.2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1.2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1.2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1.2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1.2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1.2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1.2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1.2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1.2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1.2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1.2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1.2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1.2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1.2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1.2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1.2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1.2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1.2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1.2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1.2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1.2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1.2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1.2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1.2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1.2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1.2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1.2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1.2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1.2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1.2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1.2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1.2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1.2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1.2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1.2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1.2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1.2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1.2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1.2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1.2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1.2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1.2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1.2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1.2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1.2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1.2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1.2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1.2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1.2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1.2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1.2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1.2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1.2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1.2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1.2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1.2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1.2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1.2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1.2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1.2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1.2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1.2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1.2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1.2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1.2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1.2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1.2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1.2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1.2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1.2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1.2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1.2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1.2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1.2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1.2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1.2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1.2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1.2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1.2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1.2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1.2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1.2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1.2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1.2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1.2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1.2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1.2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1.2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1.2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1.2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1.2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1.2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1.2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1.2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1.2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1.2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1.2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1.2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1.2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1.2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1.2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1.2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1.2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1.2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1.2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1.2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1.2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1.2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1.2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1.2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1.2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1.2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1.2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1.2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1.2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1.2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1.2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1.2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1.2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1.2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1.2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1.2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1.2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1.2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1.2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1.2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1.2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1.2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1.2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1.2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1.2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1.2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1.2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1.2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1.2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1.2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1.2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1.2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1.2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1.2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1.2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1.2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1.2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1.2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1.2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1.2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1.2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1.2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1.2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1.2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1.2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1.2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1.2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1.2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1.2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1.2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1.2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1.2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1.2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1.2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1.2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1.2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1.2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1.2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1.2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1.2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1.2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1.2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1.2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1.2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1.2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1.2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1.2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1.2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1.2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1.2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1.2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1.2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1.2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1.2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1.2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1.2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1.2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1.2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1.2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1.2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1.2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1.2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1.2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1.2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1.2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1.2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1.2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1.2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1.2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1.2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1.2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1.2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1.2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1.2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1.2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1.2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1.2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1.2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1.2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1.2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1.2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1.2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1.2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1.2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1.2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1.2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1.2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1.2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1.2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1.2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1.2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1.2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1.2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1.2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1.2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1.2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1.2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1.2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1.2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1.2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1.2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1.2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1.2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1.2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1.2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1.2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1.2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1.2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1.2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1.2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1.2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1.2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1.2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1.2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1.2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1.2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1.2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1.2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1.2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1.2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1.2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1.2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1.2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1.2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1.2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1.2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1.2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1.2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1.2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1.2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1.2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1.2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1.2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1.2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1.2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1.2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1.2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1.2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1.2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1.2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1.2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1.2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1.2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1.2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1.2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1.2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1.2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1.2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1.2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1.2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1.2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1.2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1.2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1.2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1.2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1.2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1.2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1.2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1.2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1.2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1.2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1.2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1.2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1.2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1.2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1.2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1.2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1.2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1.2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1.2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1.2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1.2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1.2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1.2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1.2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1.2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1.2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1.2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1.2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1.2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1.2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1.2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1.2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1.2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1.2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1.2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1.2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1.2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1.2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1.2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1.2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1.2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1.2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1.2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1.2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1.2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1.2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1.2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1.2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1.2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1.2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1.2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1.2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1.2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1.2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1.2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1.2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1.2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1.2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1.2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1.2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1.2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1.2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1.2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1.2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1.2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1.2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1.2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1.2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1.2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1.2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1.2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1.2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1.2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1.2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1.2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1.2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1.2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1.2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1.2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1.2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1.2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1.2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1.2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1.2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1.2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1.2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1.2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1.2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1.2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1.2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1.2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1.2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1.2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1.2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1.2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1.2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1.2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1.2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1.2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1.2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1.2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1.2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1.2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1.2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1.2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1.2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1.2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1.2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1.2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1.2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1.2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1.2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1.2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1.2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1.2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1.2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1.2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1.2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1.2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1.2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1.2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1.2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1.2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1.2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1.2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1.2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1.2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1.2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1.2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1.2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1.2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1.2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1.2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1.2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1.2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1.2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1.2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1.2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1.2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1.2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1.2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1.2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1.2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1.2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1.2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1.2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1.2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1.2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1.2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1.2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1.2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1.2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1.2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1.2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1.2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1.2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1.2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1.2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1.2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1.2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1.2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1.2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1.2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1.2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1.2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1.2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1.2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1.2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1.2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1.2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1.2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1.2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1.2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1.2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1.2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1.2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1.2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1.2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1.2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1.2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1.2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1.2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1.2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1.2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1.2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1.2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1.2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1.2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1.2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1.2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1.2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1.2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1.2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1.2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1.2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1.2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1.2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1.2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1.2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1.2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1.2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1.2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1.2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1.2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1.2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1.2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1.2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1.2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1.2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1.2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1.2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1.2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11.2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11.2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11.2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11.2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11.2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11.2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11.2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ht="11.2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ht="11.2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ht="11.2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ht="11.2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ht="11.2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ht="11.2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ht="11.2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ht="11.2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ht="11.2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ht="11.2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ht="11.2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ht="11.2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ht="11.2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ht="11.2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ht="11.2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ht="11.2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ht="11.2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ht="11.2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ht="11.2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ht="11.2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ht="11.2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ht="11.2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ht="11.2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ht="11.2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ht="11.2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ht="11.2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ht="11.2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ht="11.2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ht="11.2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ht="11.2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ht="11.2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ht="11.2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ht="11.2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ht="11.2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ht="11.2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ht="11.2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ht="11.2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ht="11.2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ht="11.2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ht="11.2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ht="11.2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ht="11.2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ht="11.2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ht="11.2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ht="11.2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ht="11.2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ht="11.2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ht="11.2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ht="11.2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ht="11.2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ht="11.2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ht="11.2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ht="11.2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ht="11.2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ht="11.2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ht="11.2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ht="11.2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ht="11.2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ht="11.2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ht="11.2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ht="11.2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ht="11.2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ht="11.2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ht="11.2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ht="11.2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ht="11.2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ht="11.2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ht="11.2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ht="11.2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ht="11.2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ht="11.2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ht="11.2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ht="11.2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ht="11.2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ht="11.2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ht="11.2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ht="11.2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ht="11.2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ht="11.2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ht="11.2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ht="11.2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ht="11.2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ht="11.2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ht="11.2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ht="11.2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ht="11.2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ht="11.2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ht="11.2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ht="11.2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ht="11.2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ht="11.2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ht="11.2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ht="11.2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ht="11.2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ht="11.2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ht="11.2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ht="11.2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ht="11.2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0"/>
    <col customWidth="1" min="2" max="2" width="4.14"/>
    <col customWidth="1" min="3" max="3" width="38.71"/>
    <col customWidth="1" min="4" max="4" width="11.29"/>
    <col customWidth="1" min="5" max="5" width="10.71"/>
    <col customWidth="1" min="6" max="6" width="14.43"/>
    <col customWidth="1" min="7" max="7" width="12.0"/>
    <col customWidth="1" min="8" max="8" width="9.0"/>
    <col customWidth="1" min="9" max="9" width="8.43"/>
    <col customWidth="1" min="10" max="10" width="9.29"/>
    <col customWidth="1" min="11" max="11" width="10.86"/>
    <col customWidth="1" min="12" max="12" width="10.29"/>
    <col customWidth="1" min="13" max="13" width="11.14"/>
    <col customWidth="1" min="14" max="26" width="10.71"/>
  </cols>
  <sheetData>
    <row r="1">
      <c r="A1" s="31" t="s">
        <v>232</v>
      </c>
      <c r="B1" s="31" t="s">
        <v>251</v>
      </c>
      <c r="C1" s="31" t="s">
        <v>215</v>
      </c>
      <c r="D1" s="31" t="s">
        <v>252</v>
      </c>
      <c r="E1" s="31" t="s">
        <v>253</v>
      </c>
      <c r="H1" s="31" t="s">
        <v>254</v>
      </c>
      <c r="I1" s="31" t="s">
        <v>255</v>
      </c>
      <c r="J1" s="31" t="s">
        <v>256</v>
      </c>
      <c r="K1" s="31" t="s">
        <v>257</v>
      </c>
      <c r="L1" s="31" t="s">
        <v>258</v>
      </c>
      <c r="M1" s="31" t="s">
        <v>259</v>
      </c>
    </row>
    <row r="2">
      <c r="A2" s="42" t="s">
        <v>260</v>
      </c>
      <c r="B2" s="42">
        <v>1.0</v>
      </c>
      <c r="C2" s="42" t="str">
        <f>IF(PoolMatches!D34="",PoolMatches!L2,PoolMatches!L34)</f>
        <v>#1, CSEKÖ / TRAUTH</v>
      </c>
      <c r="D2" s="42">
        <f>IF(PoolMatches!L34="",IF(PoolMatches!L2=C2,1,IF(PoolMatches!L4=PoolStandings!C2,1,0)),2)</f>
        <v>2</v>
      </c>
      <c r="E2" s="42">
        <v>0.0</v>
      </c>
      <c r="F2" s="42"/>
      <c r="G2" s="42"/>
      <c r="H2" s="42">
        <f>SUMIFS(PoolMatches!$D$2:$D$65,PoolMatches!$C$2:$C$65,PoolStandings!C2)</f>
        <v>4</v>
      </c>
      <c r="I2" s="42">
        <f>SUMIFS(PoolMatches!$N$2:$N$65,PoolMatches!$C$2:$C$65,PoolStandings!C2)</f>
        <v>0</v>
      </c>
      <c r="J2" s="67" t="str">
        <f t="shared" ref="J2:J33" si="1">IF(I2=0,"MAX",(H2/I2))</f>
        <v>MAX</v>
      </c>
      <c r="K2" s="42">
        <f>SUMIFS(PoolMatches!$E$2:$E$65,PoolMatches!$C$2:$C$65,PoolStandings!C2)+SUMIFS(PoolMatches!$F$2:$F$65,PoolMatches!$C$2:$C$65,PoolStandings!C2)+SUMIFS(PoolMatches!$G$2:$G$65,PoolMatches!$C$2:$C$65,PoolStandings!C2)</f>
        <v>60</v>
      </c>
      <c r="L2" s="68">
        <f>SUMIFS(PoolMatches!$O$2:$O$65,PoolMatches!$C$2:$C$65,PoolStandings!C2)+SUMIFS(PoolMatches!$P$2:$P$65,PoolMatches!$C$2:$C$65,PoolStandings!C2)+SUMIFS(PoolMatches!$Q$2:$Q$65,PoolMatches!$C$2:$C$65,PoolStandings!C2)</f>
        <v>32</v>
      </c>
      <c r="M2" s="67">
        <f t="shared" ref="M2:M33" si="2">IF(L2=0,"MAX",(K2/L2))</f>
        <v>1.875</v>
      </c>
      <c r="O2" s="33" t="s">
        <v>245</v>
      </c>
    </row>
    <row r="3">
      <c r="A3" s="42" t="s">
        <v>260</v>
      </c>
      <c r="B3" s="42">
        <v>2.0</v>
      </c>
      <c r="C3" s="42" t="str">
        <f>IF(PoolMatches!D34="",PoolMatches!M2,PoolMatches!M34)</f>
        <v>#17, NOLL / WEIKERT</v>
      </c>
      <c r="D3" s="42">
        <f>IF(PoolMatches!L2=PoolStandings!C3,1,IF(PoolMatches!L4=PoolStandings!C3,1,0))</f>
        <v>1</v>
      </c>
      <c r="E3" s="42">
        <f>IF(PoolMatches!M34="",0,1)</f>
        <v>1</v>
      </c>
      <c r="F3" s="42"/>
      <c r="G3" s="42"/>
      <c r="H3" s="42">
        <f>SUMIFS(PoolMatches!$D$2:$D$65,PoolMatches!$C$2:$C$65,PoolStandings!C3)</f>
        <v>2</v>
      </c>
      <c r="I3" s="42">
        <f>SUMIFS(PoolMatches!$N$2:$N$65,PoolMatches!$C$2:$C$65,PoolStandings!C3)</f>
        <v>3</v>
      </c>
      <c r="J3" s="67">
        <f t="shared" si="1"/>
        <v>0.6666666667</v>
      </c>
      <c r="K3" s="42">
        <f>SUMIFS(PoolMatches!$E$2:$E$65,PoolMatches!$C$2:$C$65,PoolStandings!C3)+SUMIFS(PoolMatches!$F$2:$F$65,PoolMatches!$C$2:$C$65,PoolStandings!C3)+SUMIFS(PoolMatches!$G$2:$G$65,PoolMatches!$C$2:$C$65,PoolStandings!C3)</f>
        <v>62</v>
      </c>
      <c r="L3" s="42">
        <f>SUMIFS(PoolMatches!$O$2:$O$65,PoolMatches!$C$2:$C$65,PoolStandings!C3)+SUMIFS(PoolMatches!$P$2:$P$65,PoolMatches!$C$2:$C$65,PoolStandings!C3)+SUMIFS(PoolMatches!$Q$2:$Q$65,PoolMatches!$C$2:$C$65,PoolStandings!C3)</f>
        <v>70</v>
      </c>
      <c r="M3" s="67">
        <f t="shared" si="2"/>
        <v>0.8857142857</v>
      </c>
    </row>
    <row r="4">
      <c r="A4" s="42" t="s">
        <v>260</v>
      </c>
      <c r="B4" s="42">
        <v>3.0</v>
      </c>
      <c r="C4" s="42" t="str">
        <f>IF(PoolMatches!D36="",PoolMatches!L4,PoolMatches!L36)</f>
        <v>#16, ZECHA / GRÜNWERTH</v>
      </c>
      <c r="D4" s="42">
        <f>IF(PoolMatches!L36="",0,1)</f>
        <v>1</v>
      </c>
      <c r="E4" s="42">
        <f>IF(PoolMatches!M2=C4,1,IF(PoolMatches!M4=C4,1,0))</f>
        <v>1</v>
      </c>
      <c r="F4" s="42"/>
      <c r="G4" s="42"/>
      <c r="H4" s="42">
        <f>SUMIFS(PoolMatches!$D$2:$D$65,PoolMatches!$C$2:$C$65,PoolStandings!C4)</f>
        <v>3</v>
      </c>
      <c r="I4" s="42">
        <f>SUMIFS(PoolMatches!$N$2:$N$65,PoolMatches!$C$2:$C$65,PoolStandings!C4)</f>
        <v>2</v>
      </c>
      <c r="J4" s="67">
        <f t="shared" si="1"/>
        <v>1.5</v>
      </c>
      <c r="K4" s="42">
        <f>SUMIFS(PoolMatches!$E$2:$E$65,PoolMatches!$C$2:$C$65,PoolStandings!C4)+SUMIFS(PoolMatches!$F$2:$F$65,PoolMatches!$C$2:$C$65,PoolStandings!C4)+SUMIFS(PoolMatches!$G$2:$G$65,PoolMatches!$C$2:$C$65,PoolStandings!C4)</f>
        <v>70</v>
      </c>
      <c r="L4" s="42">
        <f>SUMIFS(PoolMatches!$O$2:$O$65,PoolMatches!$C$2:$C$65,PoolStandings!C4)+SUMIFS(PoolMatches!$P$2:$P$65,PoolMatches!$C$2:$C$65,PoolStandings!C4)+SUMIFS(PoolMatches!$Q$2:$Q$65,PoolMatches!$C$2:$C$65,PoolStandings!C4)</f>
        <v>58</v>
      </c>
      <c r="M4" s="67">
        <f t="shared" si="2"/>
        <v>1.206896552</v>
      </c>
    </row>
    <row r="5">
      <c r="A5" s="42" t="s">
        <v>260</v>
      </c>
      <c r="B5" s="42">
        <v>4.0</v>
      </c>
      <c r="C5" s="42" t="str">
        <f>IF(PoolMatches!D36="",PoolMatches!M4,PoolMatches!M36)</f>
        <v>#32, FLECHL / OELSCHLÄGEL</v>
      </c>
      <c r="D5" s="42">
        <v>0.0</v>
      </c>
      <c r="E5" s="42">
        <f>IF(PoolMatches!M36="",IF(PoolMatches!M2=C5,1,IF(PoolMatches!M4=C5,1,0)),2)</f>
        <v>2</v>
      </c>
      <c r="F5" s="42"/>
      <c r="G5" s="42"/>
      <c r="H5" s="42">
        <f>SUMIFS(PoolMatches!$D$2:$D$65,PoolMatches!$C$2:$C$65,PoolStandings!C5)</f>
        <v>0</v>
      </c>
      <c r="I5" s="42">
        <f>SUMIFS(PoolMatches!$N$2:$N$65,PoolMatches!$C$2:$C$65,PoolStandings!C5)</f>
        <v>4</v>
      </c>
      <c r="J5" s="67">
        <f t="shared" si="1"/>
        <v>0</v>
      </c>
      <c r="K5" s="42">
        <f>SUMIFS(PoolMatches!$E$2:$E$65,PoolMatches!$C$2:$C$65,PoolStandings!C5)+SUMIFS(PoolMatches!$F$2:$F$65,PoolMatches!$C$2:$C$65,PoolStandings!C5)+SUMIFS(PoolMatches!$G$2:$G$65,PoolMatches!$C$2:$C$65,PoolStandings!C5)</f>
        <v>28</v>
      </c>
      <c r="L5" s="42">
        <f>SUMIFS(PoolMatches!$O$2:$O$65,PoolMatches!$C$2:$C$65,PoolStandings!C5)+SUMIFS(PoolMatches!$P$2:$P$65,PoolMatches!$C$2:$C$65,PoolStandings!C5)+SUMIFS(PoolMatches!$Q$2:$Q$65,PoolMatches!$C$2:$C$65,PoolStandings!C5)</f>
        <v>60</v>
      </c>
      <c r="M5" s="67">
        <f t="shared" si="2"/>
        <v>0.4666666667</v>
      </c>
    </row>
    <row r="6">
      <c r="A6" s="43" t="s">
        <v>261</v>
      </c>
      <c r="B6" s="43">
        <v>1.0</v>
      </c>
      <c r="C6" s="43" t="str">
        <f>IF(PoolMatches!D38="",PoolMatches!L6,PoolMatches!L38)</f>
        <v>#15, KLAFFINGER / ECKELBACHER</v>
      </c>
      <c r="D6" s="43">
        <f>IF(PoolMatches!L38="",IF(PoolMatches!L6=C6,1,IF(PoolMatches!L8=PoolStandings!C6,1,0)),2)</f>
        <v>2</v>
      </c>
      <c r="E6" s="43">
        <v>0.0</v>
      </c>
      <c r="F6" s="43"/>
      <c r="G6" s="43"/>
      <c r="H6" s="43">
        <f>SUMIFS(PoolMatches!$D$2:$D$65,PoolMatches!$C$2:$C$65,PoolStandings!C6)</f>
        <v>4</v>
      </c>
      <c r="I6" s="43">
        <f>SUMIFS(PoolMatches!$N$2:$N$65,PoolMatches!$C$2:$C$65,PoolStandings!C6)</f>
        <v>0</v>
      </c>
      <c r="J6" s="69" t="str">
        <f t="shared" si="1"/>
        <v>MAX</v>
      </c>
      <c r="K6" s="43">
        <f>SUMIFS(PoolMatches!$E$2:$E$65,PoolMatches!$C$2:$C$65,PoolStandings!C6)+SUMIFS(PoolMatches!$F$2:$F$65,PoolMatches!$C$2:$C$65,PoolStandings!C6)+SUMIFS(PoolMatches!$G$2:$G$65,PoolMatches!$C$2:$C$65,PoolStandings!C6)</f>
        <v>62</v>
      </c>
      <c r="L6" s="43">
        <f>SUMIFS(PoolMatches!$O$2:$O$65,PoolMatches!$C$2:$C$65,PoolStandings!C6)+SUMIFS(PoolMatches!$P$2:$P$65,PoolMatches!$C$2:$C$65,PoolStandings!C6)+SUMIFS(PoolMatches!$Q$2:$Q$65,PoolMatches!$C$2:$C$65,PoolStandings!C6)</f>
        <v>49</v>
      </c>
      <c r="M6" s="69">
        <f t="shared" si="2"/>
        <v>1.265306122</v>
      </c>
    </row>
    <row r="7">
      <c r="A7" s="43" t="s">
        <v>261</v>
      </c>
      <c r="B7" s="43">
        <v>2.0</v>
      </c>
      <c r="C7" s="43" t="str">
        <f>IF(PoolMatches!D38="",PoolMatches!M6,PoolMatches!M38)</f>
        <v>#2, FÜHRER / SEISER</v>
      </c>
      <c r="D7" s="43">
        <f>IF(PoolMatches!L6=PoolStandings!C7,1,IF(PoolMatches!L8=PoolStandings!C7,1,0))</f>
        <v>1</v>
      </c>
      <c r="E7" s="43">
        <f>IF(PoolMatches!M38="",0,1)</f>
        <v>1</v>
      </c>
      <c r="F7" s="43"/>
      <c r="G7" s="43"/>
      <c r="H7" s="43">
        <f>SUMIFS(PoolMatches!$D$2:$D$65,PoolMatches!$C$2:$C$65,PoolStandings!C7)</f>
        <v>2</v>
      </c>
      <c r="I7" s="43">
        <f>SUMIFS(PoolMatches!$N$2:$N$65,PoolMatches!$C$2:$C$65,PoolStandings!C7)</f>
        <v>2</v>
      </c>
      <c r="J7" s="69">
        <f t="shared" si="1"/>
        <v>1</v>
      </c>
      <c r="K7" s="43">
        <f>SUMIFS(PoolMatches!$E$2:$E$65,PoolMatches!$C$2:$C$65,PoolStandings!C7)+SUMIFS(PoolMatches!$F$2:$F$65,PoolMatches!$C$2:$C$65,PoolStandings!C7)+SUMIFS(PoolMatches!$G$2:$G$65,PoolMatches!$C$2:$C$65,PoolStandings!C7)</f>
        <v>52</v>
      </c>
      <c r="L7" s="43">
        <f>SUMIFS(PoolMatches!$O$2:$O$65,PoolMatches!$C$2:$C$65,PoolStandings!C7)+SUMIFS(PoolMatches!$P$2:$P$65,PoolMatches!$C$2:$C$65,PoolStandings!C7)+SUMIFS(PoolMatches!$Q$2:$Q$65,PoolMatches!$C$2:$C$65,PoolStandings!C7)</f>
        <v>54</v>
      </c>
      <c r="M7" s="69">
        <f t="shared" si="2"/>
        <v>0.962962963</v>
      </c>
    </row>
    <row r="8">
      <c r="A8" s="43" t="s">
        <v>261</v>
      </c>
      <c r="B8" s="43">
        <v>3.0</v>
      </c>
      <c r="C8" s="43" t="str">
        <f>IF(PoolMatches!D40="",PoolMatches!L8,PoolMatches!L40)</f>
        <v>#31, HÖRL / RAUTER</v>
      </c>
      <c r="D8" s="43">
        <f>IF(PoolMatches!L40="",0,1)</f>
        <v>1</v>
      </c>
      <c r="E8" s="43">
        <f>IF(PoolMatches!M6=C8,1,IF(PoolMatches!M8=C8,1,0))</f>
        <v>1</v>
      </c>
      <c r="F8" s="43"/>
      <c r="G8" s="43"/>
      <c r="H8" s="43">
        <f>SUMIFS(PoolMatches!$D$2:$D$65,PoolMatches!$C$2:$C$65,PoolStandings!C8)</f>
        <v>2</v>
      </c>
      <c r="I8" s="43">
        <f>SUMIFS(PoolMatches!$N$2:$N$65,PoolMatches!$C$2:$C$65,PoolStandings!C8)</f>
        <v>3</v>
      </c>
      <c r="J8" s="69">
        <f t="shared" si="1"/>
        <v>0.6666666667</v>
      </c>
      <c r="K8" s="43">
        <f>SUMIFS(PoolMatches!$E$2:$E$65,PoolMatches!$C$2:$C$65,PoolStandings!C8)+SUMIFS(PoolMatches!$F$2:$F$65,PoolMatches!$C$2:$C$65,PoolStandings!C8)+SUMIFS(PoolMatches!$G$2:$G$65,PoolMatches!$C$2:$C$65,PoolStandings!C8)</f>
        <v>67</v>
      </c>
      <c r="L8" s="43">
        <f>SUMIFS(PoolMatches!$O$2:$O$65,PoolMatches!$C$2:$C$65,PoolStandings!C8)+SUMIFS(PoolMatches!$P$2:$P$65,PoolMatches!$C$2:$C$65,PoolStandings!C8)+SUMIFS(PoolMatches!$Q$2:$Q$65,PoolMatches!$C$2:$C$65,PoolStandings!C8)</f>
        <v>65</v>
      </c>
      <c r="M8" s="69">
        <f t="shared" si="2"/>
        <v>1.030769231</v>
      </c>
    </row>
    <row r="9">
      <c r="A9" s="43" t="s">
        <v>261</v>
      </c>
      <c r="B9" s="43">
        <v>4.0</v>
      </c>
      <c r="C9" s="43" t="str">
        <f>IF(PoolMatches!D40="",PoolMatches!M8,PoolMatches!M40)</f>
        <v>#18, KACZMARCZYK / GRAM</v>
      </c>
      <c r="D9" s="43">
        <v>0.0</v>
      </c>
      <c r="E9" s="43">
        <f>IF(PoolMatches!M40="",IF(PoolMatches!M6=C9,1,IF(PoolMatches!M8=C9,1,0)),2)</f>
        <v>2</v>
      </c>
      <c r="F9" s="43"/>
      <c r="G9" s="43"/>
      <c r="H9" s="43">
        <f>SUMIFS(PoolMatches!$D$2:$D$65,PoolMatches!$C$2:$C$65,PoolStandings!C9)</f>
        <v>1</v>
      </c>
      <c r="I9" s="43">
        <f>SUMIFS(PoolMatches!$N$2:$N$65,PoolMatches!$C$2:$C$65,PoolStandings!C9)</f>
        <v>4</v>
      </c>
      <c r="J9" s="69">
        <f t="shared" si="1"/>
        <v>0.25</v>
      </c>
      <c r="K9" s="43">
        <f>SUMIFS(PoolMatches!$E$2:$E$65,PoolMatches!$C$2:$C$65,PoolStandings!C9)+SUMIFS(PoolMatches!$F$2:$F$65,PoolMatches!$C$2:$C$65,PoolStandings!C9)+SUMIFS(PoolMatches!$G$2:$G$65,PoolMatches!$C$2:$C$65,PoolStandings!C9)</f>
        <v>62</v>
      </c>
      <c r="L9" s="43">
        <f>SUMIFS(PoolMatches!$O$2:$O$65,PoolMatches!$C$2:$C$65,PoolStandings!C9)+SUMIFS(PoolMatches!$P$2:$P$65,PoolMatches!$C$2:$C$65,PoolStandings!C9)+SUMIFS(PoolMatches!$Q$2:$Q$65,PoolMatches!$C$2:$C$65,PoolStandings!C9)</f>
        <v>75</v>
      </c>
      <c r="M9" s="69">
        <f t="shared" si="2"/>
        <v>0.8266666667</v>
      </c>
    </row>
    <row r="10">
      <c r="A10" s="29" t="s">
        <v>262</v>
      </c>
      <c r="B10" s="29">
        <v>1.0</v>
      </c>
      <c r="C10" s="29" t="str">
        <f>IF(PoolMatches!D42="",PoolMatches!L10,PoolMatches!L42)</f>
        <v>#3, LAGZDIŅŠ / SPONER</v>
      </c>
      <c r="D10" s="29">
        <f>IF(PoolMatches!L42="",IF(PoolMatches!L10=C10,1,IF(PoolMatches!L12=PoolStandings!C10,1,0)),2)</f>
        <v>2</v>
      </c>
      <c r="E10" s="29">
        <v>0.0</v>
      </c>
      <c r="F10" s="29"/>
      <c r="G10" s="29"/>
      <c r="H10" s="29">
        <f>SUMIFS(PoolMatches!$D$2:$D$65,PoolMatches!$C$2:$C$65,PoolStandings!C10)</f>
        <v>4</v>
      </c>
      <c r="I10" s="29">
        <f>SUMIFS(PoolMatches!$N$2:$N$65,PoolMatches!$C$2:$C$65,PoolStandings!C10)</f>
        <v>2</v>
      </c>
      <c r="J10" s="70">
        <f t="shared" si="1"/>
        <v>2</v>
      </c>
      <c r="K10" s="29">
        <f>SUMIFS(PoolMatches!$E$2:$E$65,PoolMatches!$C$2:$C$65,PoolStandings!C10)+SUMIFS(PoolMatches!$F$2:$F$65,PoolMatches!$C$2:$C$65,PoolStandings!C10)+SUMIFS(PoolMatches!$G$2:$G$65,PoolMatches!$C$2:$C$65,PoolStandings!C10)</f>
        <v>84</v>
      </c>
      <c r="L10" s="29">
        <f>SUMIFS(PoolMatches!$O$2:$O$65,PoolMatches!$C$2:$C$65,PoolStandings!C10)+SUMIFS(PoolMatches!$P$2:$P$65,PoolMatches!$C$2:$C$65,PoolStandings!C10)+SUMIFS(PoolMatches!$Q$2:$Q$65,PoolMatches!$C$2:$C$65,PoolStandings!C10)</f>
        <v>76</v>
      </c>
      <c r="M10" s="70">
        <f t="shared" si="2"/>
        <v>1.105263158</v>
      </c>
    </row>
    <row r="11">
      <c r="A11" s="29" t="s">
        <v>262</v>
      </c>
      <c r="B11" s="29">
        <v>2.0</v>
      </c>
      <c r="C11" s="29" t="str">
        <f>IF(PoolMatches!D42="",PoolMatches!M10,PoolMatches!M42)</f>
        <v>#14, MOROSINI / JOVANOVIĆ</v>
      </c>
      <c r="D11" s="29">
        <f>IF(PoolMatches!L10=PoolStandings!C11,1,IF(PoolMatches!L12=PoolStandings!C11,1,0))</f>
        <v>1</v>
      </c>
      <c r="E11" s="29">
        <f>IF(PoolMatches!M42="",0,1)</f>
        <v>1</v>
      </c>
      <c r="F11" s="29"/>
      <c r="G11" s="29"/>
      <c r="H11" s="29">
        <f>SUMIFS(PoolMatches!$D$2:$D$65,PoolMatches!$C$2:$C$65,PoolStandings!C11)</f>
        <v>3</v>
      </c>
      <c r="I11" s="29">
        <f>SUMIFS(PoolMatches!$N$2:$N$65,PoolMatches!$C$2:$C$65,PoolStandings!C11)</f>
        <v>2</v>
      </c>
      <c r="J11" s="70">
        <f t="shared" si="1"/>
        <v>1.5</v>
      </c>
      <c r="K11" s="29">
        <f>SUMIFS(PoolMatches!$E$2:$E$65,PoolMatches!$C$2:$C$65,PoolStandings!C11)+SUMIFS(PoolMatches!$F$2:$F$65,PoolMatches!$C$2:$C$65,PoolStandings!C11)+SUMIFS(PoolMatches!$G$2:$G$65,PoolMatches!$C$2:$C$65,PoolStandings!C11)</f>
        <v>64</v>
      </c>
      <c r="L11" s="29">
        <f>SUMIFS(PoolMatches!$O$2:$O$65,PoolMatches!$C$2:$C$65,PoolStandings!C11)+SUMIFS(PoolMatches!$P$2:$P$65,PoolMatches!$C$2:$C$65,PoolStandings!C11)+SUMIFS(PoolMatches!$Q$2:$Q$65,PoolMatches!$C$2:$C$65,PoolStandings!C11)</f>
        <v>65</v>
      </c>
      <c r="M11" s="70">
        <f t="shared" si="2"/>
        <v>0.9846153846</v>
      </c>
    </row>
    <row r="12">
      <c r="A12" s="29" t="s">
        <v>262</v>
      </c>
      <c r="B12" s="29">
        <v>3.0</v>
      </c>
      <c r="C12" s="29" t="str">
        <f>IF(PoolMatches!D44="",PoolMatches!L12,PoolMatches!L44)</f>
        <v>#30, WEISKIRCHNER / STEINMETZ</v>
      </c>
      <c r="D12" s="29">
        <f>IF(PoolMatches!L44="",0,1)</f>
        <v>1</v>
      </c>
      <c r="E12" s="29">
        <f>IF(PoolMatches!M10=C12,1,IF(PoolMatches!M12=C12,1,0))</f>
        <v>1</v>
      </c>
      <c r="F12" s="29"/>
      <c r="G12" s="29"/>
      <c r="H12" s="29">
        <f>SUMIFS(PoolMatches!$D$2:$D$65,PoolMatches!$C$2:$C$65,PoolStandings!C12)</f>
        <v>3</v>
      </c>
      <c r="I12" s="29">
        <f>SUMIFS(PoolMatches!$N$2:$N$65,PoolMatches!$C$2:$C$65,PoolStandings!C12)</f>
        <v>2</v>
      </c>
      <c r="J12" s="70">
        <f t="shared" si="1"/>
        <v>1.5</v>
      </c>
      <c r="K12" s="29">
        <f>SUMIFS(PoolMatches!$E$2:$E$65,PoolMatches!$C$2:$C$65,PoolStandings!C12)+SUMIFS(PoolMatches!$F$2:$F$65,PoolMatches!$C$2:$C$65,PoolStandings!C12)+SUMIFS(PoolMatches!$G$2:$G$65,PoolMatches!$C$2:$C$65,PoolStandings!C12)</f>
        <v>73</v>
      </c>
      <c r="L12" s="29">
        <f>SUMIFS(PoolMatches!$O$2:$O$65,PoolMatches!$C$2:$C$65,PoolStandings!C12)+SUMIFS(PoolMatches!$P$2:$P$65,PoolMatches!$C$2:$C$65,PoolStandings!C12)+SUMIFS(PoolMatches!$Q$2:$Q$65,PoolMatches!$C$2:$C$65,PoolStandings!C12)</f>
        <v>61</v>
      </c>
      <c r="M12" s="70">
        <f t="shared" si="2"/>
        <v>1.196721311</v>
      </c>
    </row>
    <row r="13">
      <c r="A13" s="29" t="s">
        <v>262</v>
      </c>
      <c r="B13" s="29">
        <v>4.0</v>
      </c>
      <c r="C13" s="29" t="str">
        <f>IF(PoolMatches!D44="",PoolMatches!M12,PoolMatches!M44)</f>
        <v>#19, SUN / LAKOMY</v>
      </c>
      <c r="D13" s="29">
        <v>0.0</v>
      </c>
      <c r="E13" s="29">
        <f>IF(PoolMatches!M44="",IF(PoolMatches!M10=C13,1,IF(PoolMatches!M12=C13,1,0)),2)</f>
        <v>2</v>
      </c>
      <c r="F13" s="29"/>
      <c r="G13" s="29"/>
      <c r="H13" s="29">
        <f>SUMIFS(PoolMatches!$D$2:$D$65,PoolMatches!$C$2:$C$65,PoolStandings!C13)</f>
        <v>0</v>
      </c>
      <c r="I13" s="29">
        <f>SUMIFS(PoolMatches!$N$2:$N$65,PoolMatches!$C$2:$C$65,PoolStandings!C13)</f>
        <v>4</v>
      </c>
      <c r="J13" s="70">
        <f t="shared" si="1"/>
        <v>0</v>
      </c>
      <c r="K13" s="29">
        <f>SUMIFS(PoolMatches!$E$2:$E$65,PoolMatches!$C$2:$C$65,PoolStandings!C13)+SUMIFS(PoolMatches!$F$2:$F$65,PoolMatches!$C$2:$C$65,PoolStandings!C13)+SUMIFS(PoolMatches!$G$2:$G$65,PoolMatches!$C$2:$C$65,PoolStandings!C13)</f>
        <v>42</v>
      </c>
      <c r="L13" s="29">
        <f>SUMIFS(PoolMatches!$O$2:$O$65,PoolMatches!$C$2:$C$65,PoolStandings!C13)+SUMIFS(PoolMatches!$P$2:$P$65,PoolMatches!$C$2:$C$65,PoolStandings!C13)+SUMIFS(PoolMatches!$Q$2:$Q$65,PoolMatches!$C$2:$C$65,PoolStandings!C13)</f>
        <v>61</v>
      </c>
      <c r="M13" s="70">
        <f t="shared" si="2"/>
        <v>0.6885245902</v>
      </c>
    </row>
    <row r="14">
      <c r="A14" s="44" t="s">
        <v>263</v>
      </c>
      <c r="B14" s="44">
        <v>1.0</v>
      </c>
      <c r="C14" s="44" t="str">
        <f>IF(PoolMatches!D46="",PoolMatches!L14,PoolMatches!L46)</f>
        <v>#4, LEITNER / EDER</v>
      </c>
      <c r="D14" s="44">
        <f>IF(PoolMatches!L46="",IF(PoolMatches!L14=C14,1,IF(PoolMatches!L16=PoolStandings!C14,1,0)),2)</f>
        <v>2</v>
      </c>
      <c r="E14" s="44">
        <v>0.0</v>
      </c>
      <c r="F14" s="44"/>
      <c r="G14" s="44"/>
      <c r="H14" s="44">
        <f>SUMIFS(PoolMatches!$D$2:$D$65,PoolMatches!$C$2:$C$65,PoolStandings!C14)</f>
        <v>4</v>
      </c>
      <c r="I14" s="44">
        <f>SUMIFS(PoolMatches!$N$2:$N$65,PoolMatches!$C$2:$C$65,PoolStandings!C14)</f>
        <v>1</v>
      </c>
      <c r="J14" s="71">
        <f t="shared" si="1"/>
        <v>4</v>
      </c>
      <c r="K14" s="44">
        <f>SUMIFS(PoolMatches!$E$2:$E$65,PoolMatches!$C$2:$C$65,PoolStandings!C14)+SUMIFS(PoolMatches!$F$2:$F$65,PoolMatches!$C$2:$C$65,PoolStandings!C14)+SUMIFS(PoolMatches!$G$2:$G$65,PoolMatches!$C$2:$C$65,PoolStandings!C14)</f>
        <v>74</v>
      </c>
      <c r="L14" s="44">
        <f>SUMIFS(PoolMatches!$O$2:$O$65,PoolMatches!$C$2:$C$65,PoolStandings!C14)+SUMIFS(PoolMatches!$P$2:$P$65,PoolMatches!$C$2:$C$65,PoolStandings!C14)+SUMIFS(PoolMatches!$Q$2:$Q$65,PoolMatches!$C$2:$C$65,PoolStandings!C14)</f>
        <v>59</v>
      </c>
      <c r="M14" s="71">
        <f t="shared" si="2"/>
        <v>1.254237288</v>
      </c>
    </row>
    <row r="15">
      <c r="A15" s="44" t="s">
        <v>263</v>
      </c>
      <c r="B15" s="44">
        <v>2.0</v>
      </c>
      <c r="C15" s="44" t="str">
        <f>IF(PoolMatches!D46="",PoolMatches!M14,PoolMatches!M46)</f>
        <v>#20, HOFBAUER / BOHACEK</v>
      </c>
      <c r="D15" s="44">
        <f>IF(PoolMatches!L14=PoolStandings!C15,1,IF(PoolMatches!L16=PoolStandings!C15,1,0))</f>
        <v>1</v>
      </c>
      <c r="E15" s="44">
        <f>IF(PoolMatches!M46="",0,1)</f>
        <v>1</v>
      </c>
      <c r="F15" s="44"/>
      <c r="G15" s="44"/>
      <c r="H15" s="44">
        <f>SUMIFS(PoolMatches!$D$2:$D$65,PoolMatches!$C$2:$C$65,PoolStandings!C15)</f>
        <v>3</v>
      </c>
      <c r="I15" s="44">
        <f>SUMIFS(PoolMatches!$N$2:$N$65,PoolMatches!$C$2:$C$65,PoolStandings!C15)</f>
        <v>2</v>
      </c>
      <c r="J15" s="71">
        <f t="shared" si="1"/>
        <v>1.5</v>
      </c>
      <c r="K15" s="44">
        <f>SUMIFS(PoolMatches!$E$2:$E$65,PoolMatches!$C$2:$C$65,PoolStandings!C15)+SUMIFS(PoolMatches!$F$2:$F$65,PoolMatches!$C$2:$C$65,PoolStandings!C15)+SUMIFS(PoolMatches!$G$2:$G$65,PoolMatches!$C$2:$C$65,PoolStandings!C15)</f>
        <v>72</v>
      </c>
      <c r="L15" s="44">
        <f>SUMIFS(PoolMatches!$O$2:$O$65,PoolMatches!$C$2:$C$65,PoolStandings!C15)+SUMIFS(PoolMatches!$P$2:$P$65,PoolMatches!$C$2:$C$65,PoolStandings!C15)+SUMIFS(PoolMatches!$Q$2:$Q$65,PoolMatches!$C$2:$C$65,PoolStandings!C15)</f>
        <v>72</v>
      </c>
      <c r="M15" s="71">
        <f t="shared" si="2"/>
        <v>1</v>
      </c>
    </row>
    <row r="16">
      <c r="A16" s="44" t="s">
        <v>263</v>
      </c>
      <c r="B16" s="44">
        <v>3.0</v>
      </c>
      <c r="C16" s="44" t="str">
        <f>IF(PoolMatches!D48="",PoolMatches!L16,PoolMatches!L48)</f>
        <v>#13, BARNABA / HOLEČEK</v>
      </c>
      <c r="D16" s="44">
        <f>IF(PoolMatches!L48="",0,1)</f>
        <v>1</v>
      </c>
      <c r="E16" s="44">
        <f>IF(PoolMatches!M14=C16,1,IF(PoolMatches!M16=C16,1,0))</f>
        <v>1</v>
      </c>
      <c r="F16" s="44"/>
      <c r="G16" s="44"/>
      <c r="H16" s="44">
        <f>SUMIFS(PoolMatches!$D$2:$D$65,PoolMatches!$C$2:$C$65,PoolStandings!C16)</f>
        <v>2</v>
      </c>
      <c r="I16" s="44">
        <f>SUMIFS(PoolMatches!$N$2:$N$65,PoolMatches!$C$2:$C$65,PoolStandings!C16)</f>
        <v>2</v>
      </c>
      <c r="J16" s="71">
        <f t="shared" si="1"/>
        <v>1</v>
      </c>
      <c r="K16" s="44">
        <f>SUMIFS(PoolMatches!$E$2:$E$65,PoolMatches!$C$2:$C$65,PoolStandings!C16)+SUMIFS(PoolMatches!$F$2:$F$65,PoolMatches!$C$2:$C$65,PoolStandings!C16)+SUMIFS(PoolMatches!$G$2:$G$65,PoolMatches!$C$2:$C$65,PoolStandings!C16)</f>
        <v>58</v>
      </c>
      <c r="L16" s="44">
        <f>SUMIFS(PoolMatches!$O$2:$O$65,PoolMatches!$C$2:$C$65,PoolStandings!C16)+SUMIFS(PoolMatches!$P$2:$P$65,PoolMatches!$C$2:$C$65,PoolStandings!C16)+SUMIFS(PoolMatches!$Q$2:$Q$65,PoolMatches!$C$2:$C$65,PoolStandings!C16)</f>
        <v>49</v>
      </c>
      <c r="M16" s="71">
        <f t="shared" si="2"/>
        <v>1.183673469</v>
      </c>
    </row>
    <row r="17">
      <c r="A17" s="44" t="s">
        <v>263</v>
      </c>
      <c r="B17" s="44">
        <v>4.0</v>
      </c>
      <c r="C17" s="44" t="str">
        <f>IF(PoolMatches!D48="",PoolMatches!M16,PoolMatches!M48)</f>
        <v>#29, CHLUP / FREITTER</v>
      </c>
      <c r="D17" s="44">
        <v>0.0</v>
      </c>
      <c r="E17" s="44">
        <f>IF(PoolMatches!M48="",IF(PoolMatches!M14=C17,1,IF(PoolMatches!M16=C17,1,0)),2)</f>
        <v>2</v>
      </c>
      <c r="F17" s="44"/>
      <c r="G17" s="44"/>
      <c r="H17" s="44">
        <f>SUMIFS(PoolMatches!$D$2:$D$65,PoolMatches!$C$2:$C$65,PoolStandings!C17)</f>
        <v>0</v>
      </c>
      <c r="I17" s="44">
        <f>SUMIFS(PoolMatches!$N$2:$N$65,PoolMatches!$C$2:$C$65,PoolStandings!C17)</f>
        <v>4</v>
      </c>
      <c r="J17" s="71">
        <f t="shared" si="1"/>
        <v>0</v>
      </c>
      <c r="K17" s="44">
        <f>SUMIFS(PoolMatches!$E$2:$E$65,PoolMatches!$C$2:$C$65,PoolStandings!C17)+SUMIFS(PoolMatches!$F$2:$F$65,PoolMatches!$C$2:$C$65,PoolStandings!C17)+SUMIFS(PoolMatches!$G$2:$G$65,PoolMatches!$C$2:$C$65,PoolStandings!C17)</f>
        <v>36</v>
      </c>
      <c r="L17" s="44">
        <f>SUMIFS(PoolMatches!$O$2:$O$65,PoolMatches!$C$2:$C$65,PoolStandings!C17)+SUMIFS(PoolMatches!$P$2:$P$65,PoolMatches!$C$2:$C$65,PoolStandings!C17)+SUMIFS(PoolMatches!$Q$2:$Q$65,PoolMatches!$C$2:$C$65,PoolStandings!C17)</f>
        <v>60</v>
      </c>
      <c r="M17" s="71">
        <f t="shared" si="2"/>
        <v>0.6</v>
      </c>
    </row>
    <row r="18">
      <c r="A18" s="45" t="s">
        <v>264</v>
      </c>
      <c r="B18" s="45">
        <v>1.0</v>
      </c>
      <c r="C18" s="45" t="str">
        <f>IF(PoolMatches!D50="",PoolMatches!L18,PoolMatches!L50)</f>
        <v>#12, ALBRECHT / HRADECSNI</v>
      </c>
      <c r="D18" s="45">
        <f>IF(PoolMatches!L50="",IF(PoolMatches!L18=C18,1,IF(PoolMatches!L20=PoolStandings!C18,1,0)),2)</f>
        <v>2</v>
      </c>
      <c r="E18" s="45">
        <v>0.0</v>
      </c>
      <c r="F18" s="45"/>
      <c r="G18" s="45"/>
      <c r="H18" s="45">
        <f>SUMIFS(PoolMatches!$D$2:$D$65,PoolMatches!$C$2:$C$65,PoolStandings!C18)</f>
        <v>4</v>
      </c>
      <c r="I18" s="45">
        <f>SUMIFS(PoolMatches!$N$2:$N$65,PoolMatches!$C$2:$C$65,PoolStandings!C18)</f>
        <v>1</v>
      </c>
      <c r="J18" s="72">
        <f t="shared" si="1"/>
        <v>4</v>
      </c>
      <c r="K18" s="45">
        <f>SUMIFS(PoolMatches!$E$2:$E$65,PoolMatches!$C$2:$C$65,PoolStandings!C18)+SUMIFS(PoolMatches!$F$2:$F$65,PoolMatches!$C$2:$C$65,PoolStandings!C18)+SUMIFS(PoolMatches!$G$2:$G$65,PoolMatches!$C$2:$C$65,PoolStandings!C18)</f>
        <v>72</v>
      </c>
      <c r="L18" s="45">
        <f>SUMIFS(PoolMatches!$O$2:$O$65,PoolMatches!$C$2:$C$65,PoolStandings!C18)+SUMIFS(PoolMatches!$P$2:$P$65,PoolMatches!$C$2:$C$65,PoolStandings!C18)+SUMIFS(PoolMatches!$Q$2:$Q$65,PoolMatches!$C$2:$C$65,PoolStandings!C18)</f>
        <v>53</v>
      </c>
      <c r="M18" s="72">
        <f t="shared" si="2"/>
        <v>1.358490566</v>
      </c>
    </row>
    <row r="19">
      <c r="A19" s="45" t="s">
        <v>264</v>
      </c>
      <c r="B19" s="45">
        <v>2.0</v>
      </c>
      <c r="C19" s="45" t="str">
        <f>IF(PoolMatches!D50="",PoolMatches!M18,PoolMatches!M50)</f>
        <v>#5, WESP / PFEIFFER</v>
      </c>
      <c r="D19" s="45">
        <f>IF(PoolMatches!L18=PoolStandings!C19,1,IF(PoolMatches!L20=PoolStandings!C19,1,0))</f>
        <v>1</v>
      </c>
      <c r="E19" s="45">
        <f>IF(PoolMatches!M50="",0,1)</f>
        <v>1</v>
      </c>
      <c r="F19" s="45"/>
      <c r="G19" s="45"/>
      <c r="H19" s="45">
        <f>SUMIFS(PoolMatches!$D$2:$D$65,PoolMatches!$C$2:$C$65,PoolStandings!C19)</f>
        <v>3</v>
      </c>
      <c r="I19" s="45">
        <f>SUMIFS(PoolMatches!$N$2:$N$65,PoolMatches!$C$2:$C$65,PoolStandings!C19)</f>
        <v>2</v>
      </c>
      <c r="J19" s="72">
        <f t="shared" si="1"/>
        <v>1.5</v>
      </c>
      <c r="K19" s="45">
        <f>SUMIFS(PoolMatches!$E$2:$E$65,PoolMatches!$C$2:$C$65,PoolStandings!C19)+SUMIFS(PoolMatches!$F$2:$F$65,PoolMatches!$C$2:$C$65,PoolStandings!C19)+SUMIFS(PoolMatches!$G$2:$G$65,PoolMatches!$C$2:$C$65,PoolStandings!C19)</f>
        <v>70</v>
      </c>
      <c r="L19" s="45">
        <f>SUMIFS(PoolMatches!$O$2:$O$65,PoolMatches!$C$2:$C$65,PoolStandings!C19)+SUMIFS(PoolMatches!$P$2:$P$65,PoolMatches!$C$2:$C$65,PoolStandings!C19)+SUMIFS(PoolMatches!$Q$2:$Q$65,PoolMatches!$C$2:$C$65,PoolStandings!C19)</f>
        <v>64</v>
      </c>
      <c r="M19" s="72">
        <f t="shared" si="2"/>
        <v>1.09375</v>
      </c>
    </row>
    <row r="20">
      <c r="A20" s="45" t="s">
        <v>264</v>
      </c>
      <c r="B20" s="45">
        <v>3.0</v>
      </c>
      <c r="C20" s="45" t="str">
        <f>IF(PoolMatches!D52="",PoolMatches!L20,PoolMatches!L52)</f>
        <v>#28, DESSEWFFY / ZABLOUDIL</v>
      </c>
      <c r="D20" s="45">
        <f>IF(PoolMatches!L52="",0,1)</f>
        <v>1</v>
      </c>
      <c r="E20" s="45">
        <f>IF(PoolMatches!M18=C20,1,IF(PoolMatches!M20=C20,1,0))</f>
        <v>1</v>
      </c>
      <c r="F20" s="45"/>
      <c r="G20" s="45"/>
      <c r="H20" s="45">
        <f>SUMIFS(PoolMatches!$D$2:$D$65,PoolMatches!$C$2:$C$65,PoolStandings!C20)</f>
        <v>2</v>
      </c>
      <c r="I20" s="45">
        <f>SUMIFS(PoolMatches!$N$2:$N$65,PoolMatches!$C$2:$C$65,PoolStandings!C20)</f>
        <v>3</v>
      </c>
      <c r="J20" s="72">
        <f t="shared" si="1"/>
        <v>0.6666666667</v>
      </c>
      <c r="K20" s="45">
        <f>SUMIFS(PoolMatches!$E$2:$E$65,PoolMatches!$C$2:$C$65,PoolStandings!C20)+SUMIFS(PoolMatches!$F$2:$F$65,PoolMatches!$C$2:$C$65,PoolStandings!C20)+SUMIFS(PoolMatches!$G$2:$G$65,PoolMatches!$C$2:$C$65,PoolStandings!C20)</f>
        <v>60</v>
      </c>
      <c r="L20" s="45">
        <f>SUMIFS(PoolMatches!$O$2:$O$65,PoolMatches!$C$2:$C$65,PoolStandings!C20)+SUMIFS(PoolMatches!$P$2:$P$65,PoolMatches!$C$2:$C$65,PoolStandings!C20)+SUMIFS(PoolMatches!$Q$2:$Q$65,PoolMatches!$C$2:$C$65,PoolStandings!C20)</f>
        <v>60</v>
      </c>
      <c r="M20" s="72">
        <f t="shared" si="2"/>
        <v>1</v>
      </c>
    </row>
    <row r="21" ht="15.75" customHeight="1">
      <c r="A21" s="45" t="s">
        <v>264</v>
      </c>
      <c r="B21" s="45">
        <v>4.0</v>
      </c>
      <c r="C21" s="45" t="str">
        <f>IF(PoolMatches!D52="",PoolMatches!M20,PoolMatches!M52)</f>
        <v>#21, JOBST / GAPPNIG</v>
      </c>
      <c r="D21" s="45">
        <v>0.0</v>
      </c>
      <c r="E21" s="45">
        <f>IF(PoolMatches!M52="",IF(PoolMatches!M18=C21,1,IF(PoolMatches!M20=C21,1,0)),2)</f>
        <v>2</v>
      </c>
      <c r="F21" s="45"/>
      <c r="G21" s="45"/>
      <c r="H21" s="45">
        <f>SUMIFS(PoolMatches!$D$2:$D$65,PoolMatches!$C$2:$C$65,PoolStandings!C21)</f>
        <v>1</v>
      </c>
      <c r="I21" s="45">
        <f>SUMIFS(PoolMatches!$N$2:$N$65,PoolMatches!$C$2:$C$65,PoolStandings!C21)</f>
        <v>4</v>
      </c>
      <c r="J21" s="72">
        <f t="shared" si="1"/>
        <v>0.25</v>
      </c>
      <c r="K21" s="45">
        <f>SUMIFS(PoolMatches!$E$2:$E$65,PoolMatches!$C$2:$C$65,PoolStandings!C21)+SUMIFS(PoolMatches!$F$2:$F$65,PoolMatches!$C$2:$C$65,PoolStandings!C21)+SUMIFS(PoolMatches!$G$2:$G$65,PoolMatches!$C$2:$C$65,PoolStandings!C21)</f>
        <v>43</v>
      </c>
      <c r="L21" s="45">
        <f>SUMIFS(PoolMatches!$O$2:$O$65,PoolMatches!$C$2:$C$65,PoolStandings!C21)+SUMIFS(PoolMatches!$P$2:$P$65,PoolMatches!$C$2:$C$65,PoolStandings!C21)+SUMIFS(PoolMatches!$Q$2:$Q$65,PoolMatches!$C$2:$C$65,PoolStandings!C21)</f>
        <v>68</v>
      </c>
      <c r="M21" s="72">
        <f t="shared" si="2"/>
        <v>0.6323529412</v>
      </c>
    </row>
    <row r="22" ht="15.75" customHeight="1">
      <c r="A22" s="46" t="s">
        <v>265</v>
      </c>
      <c r="B22" s="46">
        <v>1.0</v>
      </c>
      <c r="C22" s="46" t="str">
        <f>IF(PoolMatches!D54="",PoolMatches!L22,PoolMatches!L54)</f>
        <v>#6, CUBASCH / NEHULIAIEV</v>
      </c>
      <c r="D22" s="46">
        <f>IF(PoolMatches!L54="",IF(PoolMatches!L22=C22,1,IF(PoolMatches!L24=PoolStandings!C22,1,0)),2)</f>
        <v>2</v>
      </c>
      <c r="E22" s="46">
        <v>0.0</v>
      </c>
      <c r="F22" s="46"/>
      <c r="G22" s="46"/>
      <c r="H22" s="46">
        <f>SUMIFS(PoolMatches!$D$2:$D$65,PoolMatches!$C$2:$C$65,PoolStandings!C22)</f>
        <v>4</v>
      </c>
      <c r="I22" s="46">
        <f>SUMIFS(PoolMatches!$N$2:$N$65,PoolMatches!$C$2:$C$65,PoolStandings!C22)</f>
        <v>1</v>
      </c>
      <c r="J22" s="73">
        <f t="shared" si="1"/>
        <v>4</v>
      </c>
      <c r="K22" s="46">
        <f>SUMIFS(PoolMatches!$E$2:$E$65,PoolMatches!$C$2:$C$65,PoolStandings!C22)+SUMIFS(PoolMatches!$F$2:$F$65,PoolMatches!$C$2:$C$65,PoolStandings!C22)+SUMIFS(PoolMatches!$G$2:$G$65,PoolMatches!$C$2:$C$65,PoolStandings!C22)</f>
        <v>72</v>
      </c>
      <c r="L22" s="46">
        <f>SUMIFS(PoolMatches!$O$2:$O$65,PoolMatches!$C$2:$C$65,PoolStandings!C22)+SUMIFS(PoolMatches!$P$2:$P$65,PoolMatches!$C$2:$C$65,PoolStandings!C22)+SUMIFS(PoolMatches!$Q$2:$Q$65,PoolMatches!$C$2:$C$65,PoolStandings!C22)</f>
        <v>54</v>
      </c>
      <c r="M22" s="73">
        <f t="shared" si="2"/>
        <v>1.333333333</v>
      </c>
    </row>
    <row r="23" ht="15.75" customHeight="1">
      <c r="A23" s="46" t="s">
        <v>265</v>
      </c>
      <c r="B23" s="46">
        <v>2.0</v>
      </c>
      <c r="C23" s="46" t="str">
        <f>IF(PoolMatches!D54="",PoolMatches!M22,PoolMatches!M54)</f>
        <v>#11, TKACHENKO / KURZMANN</v>
      </c>
      <c r="D23" s="46">
        <f>IF(PoolMatches!L22=PoolStandings!C23,1,IF(PoolMatches!L24=PoolStandings!C23,1,0))</f>
        <v>1</v>
      </c>
      <c r="E23" s="46">
        <f>IF(PoolMatches!M54="",0,1)</f>
        <v>1</v>
      </c>
      <c r="F23" s="46"/>
      <c r="G23" s="46"/>
      <c r="H23" s="46">
        <f>SUMIFS(PoolMatches!$D$2:$D$65,PoolMatches!$C$2:$C$65,PoolStandings!C23)</f>
        <v>3</v>
      </c>
      <c r="I23" s="46">
        <f>SUMIFS(PoolMatches!$N$2:$N$65,PoolMatches!$C$2:$C$65,PoolStandings!C23)</f>
        <v>3</v>
      </c>
      <c r="J23" s="73">
        <f t="shared" si="1"/>
        <v>1</v>
      </c>
      <c r="K23" s="46">
        <f>SUMIFS(PoolMatches!$E$2:$E$65,PoolMatches!$C$2:$C$65,PoolStandings!C23)+SUMIFS(PoolMatches!$F$2:$F$65,PoolMatches!$C$2:$C$65,PoolStandings!C23)+SUMIFS(PoolMatches!$G$2:$G$65,PoolMatches!$C$2:$C$65,PoolStandings!C23)</f>
        <v>73</v>
      </c>
      <c r="L23" s="46">
        <f>SUMIFS(PoolMatches!$O$2:$O$65,PoolMatches!$C$2:$C$65,PoolStandings!C23)+SUMIFS(PoolMatches!$P$2:$P$65,PoolMatches!$C$2:$C$65,PoolStandings!C23)+SUMIFS(PoolMatches!$Q$2:$Q$65,PoolMatches!$C$2:$C$65,PoolStandings!C23)</f>
        <v>79</v>
      </c>
      <c r="M23" s="73">
        <f t="shared" si="2"/>
        <v>0.9240506329</v>
      </c>
    </row>
    <row r="24" ht="15.75" customHeight="1">
      <c r="A24" s="46" t="s">
        <v>265</v>
      </c>
      <c r="B24" s="46">
        <v>3.0</v>
      </c>
      <c r="C24" s="46" t="str">
        <f>IF(PoolMatches!D56="",PoolMatches!L24,PoolMatches!L56)</f>
        <v>#22, SCHEBELLA / GRAF</v>
      </c>
      <c r="D24" s="46">
        <f>IF(PoolMatches!L56="",0,1)</f>
        <v>1</v>
      </c>
      <c r="E24" s="46">
        <f>IF(PoolMatches!M22=C24,1,IF(PoolMatches!M24=C24,1,0))</f>
        <v>1</v>
      </c>
      <c r="F24" s="46"/>
      <c r="G24" s="46"/>
      <c r="H24" s="46">
        <f>SUMIFS(PoolMatches!$D$2:$D$65,PoolMatches!$C$2:$C$65,PoolStandings!C24)</f>
        <v>3</v>
      </c>
      <c r="I24" s="46">
        <f>SUMIFS(PoolMatches!$N$2:$N$65,PoolMatches!$C$2:$C$65,PoolStandings!C24)</f>
        <v>2</v>
      </c>
      <c r="J24" s="73">
        <f t="shared" si="1"/>
        <v>1.5</v>
      </c>
      <c r="K24" s="46">
        <f>SUMIFS(PoolMatches!$E$2:$E$65,PoolMatches!$C$2:$C$65,PoolStandings!C24)+SUMIFS(PoolMatches!$F$2:$F$65,PoolMatches!$C$2:$C$65,PoolStandings!C24)+SUMIFS(PoolMatches!$G$2:$G$65,PoolMatches!$C$2:$C$65,PoolStandings!C24)</f>
        <v>70</v>
      </c>
      <c r="L24" s="46">
        <f>SUMIFS(PoolMatches!$O$2:$O$65,PoolMatches!$C$2:$C$65,PoolStandings!C24)+SUMIFS(PoolMatches!$P$2:$P$65,PoolMatches!$C$2:$C$65,PoolStandings!C24)+SUMIFS(PoolMatches!$Q$2:$Q$65,PoolMatches!$C$2:$C$65,PoolStandings!C24)</f>
        <v>58</v>
      </c>
      <c r="M24" s="73">
        <f t="shared" si="2"/>
        <v>1.206896552</v>
      </c>
    </row>
    <row r="25" ht="15.75" customHeight="1">
      <c r="A25" s="46" t="s">
        <v>265</v>
      </c>
      <c r="B25" s="46">
        <v>4.0</v>
      </c>
      <c r="C25" s="46" t="str">
        <f>IF(PoolMatches!D56="",PoolMatches!M24,PoolMatches!M56)</f>
        <v>#27, MALICKI / FLORIÁN</v>
      </c>
      <c r="D25" s="46">
        <v>0.0</v>
      </c>
      <c r="E25" s="46">
        <f>IF(PoolMatches!M56="",IF(PoolMatches!M22=C25,1,IF(PoolMatches!M24=C25,1,0)),2)</f>
        <v>2</v>
      </c>
      <c r="F25" s="46"/>
      <c r="G25" s="46"/>
      <c r="H25" s="46">
        <f>SUMIFS(PoolMatches!$D$2:$D$65,PoolMatches!$C$2:$C$65,PoolStandings!C25)</f>
        <v>0</v>
      </c>
      <c r="I25" s="46">
        <f>SUMIFS(PoolMatches!$N$2:$N$65,PoolMatches!$C$2:$C$65,PoolStandings!C25)</f>
        <v>4</v>
      </c>
      <c r="J25" s="73">
        <f t="shared" si="1"/>
        <v>0</v>
      </c>
      <c r="K25" s="46">
        <f>SUMIFS(PoolMatches!$E$2:$E$65,PoolMatches!$C$2:$C$65,PoolStandings!C25)+SUMIFS(PoolMatches!$F$2:$F$65,PoolMatches!$C$2:$C$65,PoolStandings!C25)+SUMIFS(PoolMatches!$G$2:$G$65,PoolMatches!$C$2:$C$65,PoolStandings!C25)</f>
        <v>39</v>
      </c>
      <c r="L25" s="46">
        <f>SUMIFS(PoolMatches!$O$2:$O$65,PoolMatches!$C$2:$C$65,PoolStandings!C25)+SUMIFS(PoolMatches!$P$2:$P$65,PoolMatches!$C$2:$C$65,PoolStandings!C25)+SUMIFS(PoolMatches!$Q$2:$Q$65,PoolMatches!$C$2:$C$65,PoolStandings!C25)</f>
        <v>63</v>
      </c>
      <c r="M25" s="73">
        <f t="shared" si="2"/>
        <v>0.619047619</v>
      </c>
    </row>
    <row r="26" ht="15.75" customHeight="1">
      <c r="A26" s="47" t="s">
        <v>266</v>
      </c>
      <c r="B26" s="47">
        <v>1.0</v>
      </c>
      <c r="C26" s="47" t="str">
        <f>IF(PoolMatches!D58="",PoolMatches!L26,PoolMatches!L58)</f>
        <v>#10, JANOTTA / OFNER</v>
      </c>
      <c r="D26" s="47">
        <f>IF(PoolMatches!L58="",IF(PoolMatches!L26=C26,1,IF(PoolMatches!L28=PoolStandings!C26,1,0)),2)</f>
        <v>2</v>
      </c>
      <c r="E26" s="47">
        <v>0.0</v>
      </c>
      <c r="F26" s="47"/>
      <c r="G26" s="47"/>
      <c r="H26" s="47">
        <f>SUMIFS(PoolMatches!$D$2:$D$65,PoolMatches!$C$2:$C$65,PoolStandings!C26)</f>
        <v>4</v>
      </c>
      <c r="I26" s="47">
        <f>SUMIFS(PoolMatches!$N$2:$N$65,PoolMatches!$C$2:$C$65,PoolStandings!C26)</f>
        <v>2</v>
      </c>
      <c r="J26" s="47">
        <f t="shared" si="1"/>
        <v>2</v>
      </c>
      <c r="K26" s="47">
        <f>SUMIFS(PoolMatches!$E$2:$E$65,PoolMatches!$C$2:$C$65,PoolStandings!C26)+SUMIFS(PoolMatches!$F$2:$F$65,PoolMatches!$C$2:$C$65,PoolStandings!C26)+SUMIFS(PoolMatches!$G$2:$G$65,PoolMatches!$C$2:$C$65,PoolStandings!C26)</f>
        <v>82</v>
      </c>
      <c r="L26" s="47">
        <f>SUMIFS(PoolMatches!$O$2:$O$65,PoolMatches!$C$2:$C$65,PoolStandings!C26)+SUMIFS(PoolMatches!$P$2:$P$65,PoolMatches!$C$2:$C$65,PoolStandings!C26)+SUMIFS(PoolMatches!$Q$2:$Q$65,PoolMatches!$C$2:$C$65,PoolStandings!C26)</f>
        <v>72</v>
      </c>
      <c r="M26" s="47">
        <f t="shared" si="2"/>
        <v>1.138888889</v>
      </c>
    </row>
    <row r="27" ht="15.75" customHeight="1">
      <c r="A27" s="47" t="s">
        <v>266</v>
      </c>
      <c r="B27" s="47">
        <v>2.0</v>
      </c>
      <c r="C27" s="47" t="str">
        <f>IF(PoolMatches!D58="",PoolMatches!M26,PoolMatches!M58)</f>
        <v>#7, HOHENAUER / CARMANN</v>
      </c>
      <c r="D27" s="47">
        <f>IF(PoolMatches!L26=PoolStandings!C27,1,IF(PoolMatches!L28=PoolStandings!C27,1,0))</f>
        <v>1</v>
      </c>
      <c r="E27" s="47">
        <f>IF(PoolMatches!M58="",0,1)</f>
        <v>1</v>
      </c>
      <c r="F27" s="47"/>
      <c r="G27" s="47"/>
      <c r="H27" s="47">
        <f>SUMIFS(PoolMatches!$D$2:$D$65,PoolMatches!$C$2:$C$65,PoolStandings!C27)</f>
        <v>3</v>
      </c>
      <c r="I27" s="47">
        <f>SUMIFS(PoolMatches!$N$2:$N$65,PoolMatches!$C$2:$C$65,PoolStandings!C27)</f>
        <v>3</v>
      </c>
      <c r="J27" s="47">
        <f t="shared" si="1"/>
        <v>1</v>
      </c>
      <c r="K27" s="47">
        <f>SUMIFS(PoolMatches!$E$2:$E$65,PoolMatches!$C$2:$C$65,PoolStandings!C27)+SUMIFS(PoolMatches!$F$2:$F$65,PoolMatches!$C$2:$C$65,PoolStandings!C27)+SUMIFS(PoolMatches!$G$2:$G$65,PoolMatches!$C$2:$C$65,PoolStandings!C27)</f>
        <v>83</v>
      </c>
      <c r="L27" s="47">
        <f>SUMIFS(PoolMatches!$O$2:$O$65,PoolMatches!$C$2:$C$65,PoolStandings!C27)+SUMIFS(PoolMatches!$P$2:$P$65,PoolMatches!$C$2:$C$65,PoolStandings!C27)+SUMIFS(PoolMatches!$Q$2:$Q$65,PoolMatches!$C$2:$C$65,PoolStandings!C27)</f>
        <v>70</v>
      </c>
      <c r="M27" s="47">
        <f t="shared" si="2"/>
        <v>1.185714286</v>
      </c>
    </row>
    <row r="28" ht="15.75" customHeight="1">
      <c r="A28" s="47" t="s">
        <v>266</v>
      </c>
      <c r="B28" s="47">
        <v>3.0</v>
      </c>
      <c r="C28" s="47" t="str">
        <f>IF(PoolMatches!D60="",PoolMatches!L28,PoolMatches!L60)</f>
        <v>#23, LANGER / SAFTIUK</v>
      </c>
      <c r="D28" s="47">
        <f>IF(PoolMatches!L60="",0,1)</f>
        <v>1</v>
      </c>
      <c r="E28" s="47">
        <f>IF(PoolMatches!M26=C28,1,IF(PoolMatches!M28=C28,1,0))</f>
        <v>1</v>
      </c>
      <c r="F28" s="47"/>
      <c r="G28" s="47"/>
      <c r="H28" s="47">
        <f>SUMIFS(PoolMatches!$D$2:$D$65,PoolMatches!$C$2:$C$65,PoolStandings!C28)</f>
        <v>3</v>
      </c>
      <c r="I28" s="47">
        <f>SUMIFS(PoolMatches!$N$2:$N$65,PoolMatches!$C$2:$C$65,PoolStandings!C28)</f>
        <v>3</v>
      </c>
      <c r="J28" s="47">
        <f t="shared" si="1"/>
        <v>1</v>
      </c>
      <c r="K28" s="47">
        <f>SUMIFS(PoolMatches!$E$2:$E$65,PoolMatches!$C$2:$C$65,PoolStandings!C28)+SUMIFS(PoolMatches!$F$2:$F$65,PoolMatches!$C$2:$C$65,PoolStandings!C28)+SUMIFS(PoolMatches!$G$2:$G$65,PoolMatches!$C$2:$C$65,PoolStandings!C28)</f>
        <v>74</v>
      </c>
      <c r="L28" s="47">
        <f>SUMIFS(PoolMatches!$O$2:$O$65,PoolMatches!$C$2:$C$65,PoolStandings!C28)+SUMIFS(PoolMatches!$P$2:$P$65,PoolMatches!$C$2:$C$65,PoolStandings!C28)+SUMIFS(PoolMatches!$Q$2:$Q$65,PoolMatches!$C$2:$C$65,PoolStandings!C28)</f>
        <v>74</v>
      </c>
      <c r="M28" s="47">
        <f t="shared" si="2"/>
        <v>1</v>
      </c>
    </row>
    <row r="29" ht="15.75" customHeight="1">
      <c r="A29" s="47" t="s">
        <v>266</v>
      </c>
      <c r="B29" s="47">
        <v>4.0</v>
      </c>
      <c r="C29" s="47" t="str">
        <f>IF(PoolMatches!D60="",PoolMatches!M28,PoolMatches!M60)</f>
        <v>#26, TIWALD / ALTENRIEDERER</v>
      </c>
      <c r="D29" s="47">
        <v>0.0</v>
      </c>
      <c r="E29" s="47">
        <f>IF(PoolMatches!M60="",IF(PoolMatches!M26=C29,1,IF(PoolMatches!M28=C29,1,0)),2)</f>
        <v>2</v>
      </c>
      <c r="F29" s="47"/>
      <c r="G29" s="47"/>
      <c r="H29" s="47">
        <f>SUMIFS(PoolMatches!$D$2:$D$65,PoolMatches!$C$2:$C$65,PoolStandings!C29)</f>
        <v>2</v>
      </c>
      <c r="I29" s="47">
        <f>SUMIFS(PoolMatches!$N$2:$N$65,PoolMatches!$C$2:$C$65,PoolStandings!C29)</f>
        <v>4</v>
      </c>
      <c r="J29" s="47">
        <f t="shared" si="1"/>
        <v>0.5</v>
      </c>
      <c r="K29" s="47">
        <f>SUMIFS(PoolMatches!$E$2:$E$65,PoolMatches!$C$2:$C$65,PoolStandings!C29)+SUMIFS(PoolMatches!$F$2:$F$65,PoolMatches!$C$2:$C$65,PoolStandings!C29)+SUMIFS(PoolMatches!$G$2:$G$65,PoolMatches!$C$2:$C$65,PoolStandings!C29)</f>
        <v>62</v>
      </c>
      <c r="L29" s="47">
        <f>SUMIFS(PoolMatches!$O$2:$O$65,PoolMatches!$C$2:$C$65,PoolStandings!C29)+SUMIFS(PoolMatches!$P$2:$P$65,PoolMatches!$C$2:$C$65,PoolStandings!C29)+SUMIFS(PoolMatches!$Q$2:$Q$65,PoolMatches!$C$2:$C$65,PoolStandings!C29)</f>
        <v>85</v>
      </c>
      <c r="M29" s="47">
        <f t="shared" si="2"/>
        <v>0.7294117647</v>
      </c>
    </row>
    <row r="30" ht="15.75" customHeight="1">
      <c r="A30" s="48" t="s">
        <v>267</v>
      </c>
      <c r="B30" s="48">
        <v>1.0</v>
      </c>
      <c r="C30" s="48" t="str">
        <f>IF(PoolMatches!D62="",PoolMatches!L30,PoolMatches!L62)</f>
        <v>#8, SCHEUCHER / BAUER</v>
      </c>
      <c r="D30" s="48">
        <f>IF(PoolMatches!L62="",IF(PoolMatches!L30=C30,1,IF(PoolMatches!L32=PoolStandings!C30,1,0)),2)</f>
        <v>2</v>
      </c>
      <c r="E30" s="48">
        <v>0.0</v>
      </c>
      <c r="F30" s="48"/>
      <c r="G30" s="48"/>
      <c r="H30" s="48">
        <f>SUMIFS(PoolMatches!$D$2:$D$65,PoolMatches!$C$2:$C$65,PoolStandings!C30)</f>
        <v>4</v>
      </c>
      <c r="I30" s="48">
        <f>SUMIFS(PoolMatches!$N$2:$N$65,PoolMatches!$C$2:$C$65,PoolStandings!C30)</f>
        <v>1</v>
      </c>
      <c r="J30" s="48">
        <f t="shared" si="1"/>
        <v>4</v>
      </c>
      <c r="K30" s="48">
        <f>SUMIFS(PoolMatches!$E$2:$E$65,PoolMatches!$C$2:$C$65,PoolStandings!C30)+SUMIFS(PoolMatches!$F$2:$F$65,PoolMatches!$C$2:$C$65,PoolStandings!C30)+SUMIFS(PoolMatches!$G$2:$G$65,PoolMatches!$C$2:$C$65,PoolStandings!C30)</f>
        <v>68</v>
      </c>
      <c r="L30" s="48">
        <f>SUMIFS(PoolMatches!$O$2:$O$65,PoolMatches!$C$2:$C$65,PoolStandings!C30)+SUMIFS(PoolMatches!$P$2:$P$65,PoolMatches!$C$2:$C$65,PoolStandings!C30)+SUMIFS(PoolMatches!$Q$2:$Q$65,PoolMatches!$C$2:$C$65,PoolStandings!C30)</f>
        <v>54</v>
      </c>
      <c r="M30" s="48">
        <f t="shared" si="2"/>
        <v>1.259259259</v>
      </c>
    </row>
    <row r="31" ht="15.75" customHeight="1">
      <c r="A31" s="48" t="s">
        <v>267</v>
      </c>
      <c r="B31" s="48">
        <v>2.0</v>
      </c>
      <c r="C31" s="48" t="str">
        <f>IF(PoolMatches!D62="",PoolMatches!M30,PoolMatches!M62)</f>
        <v>#9, HARTEL / SANDNER</v>
      </c>
      <c r="D31" s="48">
        <f>IF(PoolMatches!L30=PoolStandings!C31,1,IF(PoolMatches!L32=PoolStandings!C31,1,0))</f>
        <v>1</v>
      </c>
      <c r="E31" s="48">
        <f>IF(PoolMatches!M62="",0,1)</f>
        <v>1</v>
      </c>
      <c r="F31" s="48"/>
      <c r="G31" s="48"/>
      <c r="H31" s="48">
        <f>SUMIFS(PoolMatches!$D$2:$D$65,PoolMatches!$C$2:$C$65,PoolStandings!C31)</f>
        <v>3</v>
      </c>
      <c r="I31" s="48">
        <f>SUMIFS(PoolMatches!$N$2:$N$65,PoolMatches!$C$2:$C$65,PoolStandings!C31)</f>
        <v>2</v>
      </c>
      <c r="J31" s="48">
        <f t="shared" si="1"/>
        <v>1.5</v>
      </c>
      <c r="K31" s="48">
        <f>SUMIFS(PoolMatches!$E$2:$E$65,PoolMatches!$C$2:$C$65,PoolStandings!C31)+SUMIFS(PoolMatches!$F$2:$F$65,PoolMatches!$C$2:$C$65,PoolStandings!C31)+SUMIFS(PoolMatches!$G$2:$G$65,PoolMatches!$C$2:$C$65,PoolStandings!C31)</f>
        <v>70</v>
      </c>
      <c r="L31" s="48">
        <f>SUMIFS(PoolMatches!$O$2:$O$65,PoolMatches!$C$2:$C$65,PoolStandings!C31)+SUMIFS(PoolMatches!$P$2:$P$65,PoolMatches!$C$2:$C$65,PoolStandings!C31)+SUMIFS(PoolMatches!$Q$2:$Q$65,PoolMatches!$C$2:$C$65,PoolStandings!C31)</f>
        <v>38</v>
      </c>
      <c r="M31" s="48">
        <f t="shared" si="2"/>
        <v>1.842105263</v>
      </c>
    </row>
    <row r="32" ht="15.75" customHeight="1">
      <c r="A32" s="48" t="s">
        <v>267</v>
      </c>
      <c r="B32" s="48">
        <v>3.0</v>
      </c>
      <c r="C32" s="48" t="str">
        <f>IF(PoolMatches!D64="",PoolMatches!L32,PoolMatches!L64)</f>
        <v>#25, EICHINGER / REISS</v>
      </c>
      <c r="D32" s="48">
        <f>IF(PoolMatches!L64="",0,1)</f>
        <v>1</v>
      </c>
      <c r="E32" s="48">
        <f>IF(PoolMatches!M30=C32,1,IF(PoolMatches!M32=C32,1,0))</f>
        <v>1</v>
      </c>
      <c r="F32" s="48"/>
      <c r="G32" s="48"/>
      <c r="H32" s="48">
        <f>SUMIFS(PoolMatches!$D$2:$D$65,PoolMatches!$C$2:$C$65,PoolStandings!C32)</f>
        <v>2</v>
      </c>
      <c r="I32" s="48">
        <f>SUMIFS(PoolMatches!$N$2:$N$65,PoolMatches!$C$2:$C$65,PoolStandings!C32)</f>
        <v>2</v>
      </c>
      <c r="J32" s="48">
        <f t="shared" si="1"/>
        <v>1</v>
      </c>
      <c r="K32" s="48">
        <f>SUMIFS(PoolMatches!$E$2:$E$65,PoolMatches!$C$2:$C$65,PoolStandings!C32)+SUMIFS(PoolMatches!$F$2:$F$65,PoolMatches!$C$2:$C$65,PoolStandings!C32)+SUMIFS(PoolMatches!$G$2:$G$65,PoolMatches!$C$2:$C$65,PoolStandings!C32)</f>
        <v>44</v>
      </c>
      <c r="L32" s="48">
        <f>SUMIFS(PoolMatches!$O$2:$O$65,PoolMatches!$C$2:$C$65,PoolStandings!C32)+SUMIFS(PoolMatches!$P$2:$P$65,PoolMatches!$C$2:$C$65,PoolStandings!C32)+SUMIFS(PoolMatches!$Q$2:$Q$65,PoolMatches!$C$2:$C$65,PoolStandings!C32)</f>
        <v>30</v>
      </c>
      <c r="M32" s="48">
        <f t="shared" si="2"/>
        <v>1.466666667</v>
      </c>
    </row>
    <row r="33" ht="15.75" customHeight="1">
      <c r="A33" s="48" t="s">
        <v>267</v>
      </c>
      <c r="B33" s="48">
        <v>4.0</v>
      </c>
      <c r="C33" s="48" t="str">
        <f>IF(PoolMatches!D64="",PoolMatches!M32,PoolMatches!M64)</f>
        <v>#24, LEPIC / VUKOVIC</v>
      </c>
      <c r="D33" s="48">
        <v>0.0</v>
      </c>
      <c r="E33" s="48">
        <f>IF(PoolMatches!M64="",IF(PoolMatches!M30=C33,1,IF(PoolMatches!M32=C33,1,0)),2)</f>
        <v>2</v>
      </c>
      <c r="F33" s="48"/>
      <c r="G33" s="48"/>
      <c r="H33" s="48">
        <f>SUMIFS(PoolMatches!$D$2:$D$65,PoolMatches!$C$2:$C$65,PoolStandings!C33)</f>
        <v>0</v>
      </c>
      <c r="I33" s="48">
        <f>SUMIFS(PoolMatches!$N$2:$N$65,PoolMatches!$C$2:$C$65,PoolStandings!C33)</f>
        <v>4</v>
      </c>
      <c r="J33" s="48">
        <f t="shared" si="1"/>
        <v>0</v>
      </c>
      <c r="K33" s="48">
        <f>SUMIFS(PoolMatches!$E$2:$E$65,PoolMatches!$C$2:$C$65,PoolStandings!C33)+SUMIFS(PoolMatches!$F$2:$F$65,PoolMatches!$C$2:$C$65,PoolStandings!C33)+SUMIFS(PoolMatches!$G$2:$G$65,PoolMatches!$C$2:$C$65,PoolStandings!C33)</f>
        <v>0</v>
      </c>
      <c r="L33" s="48">
        <f>SUMIFS(PoolMatches!$O$2:$O$65,PoolMatches!$C$2:$C$65,PoolStandings!C33)+SUMIFS(PoolMatches!$P$2:$P$65,PoolMatches!$C$2:$C$65,PoolStandings!C33)+SUMIFS(PoolMatches!$Q$2:$Q$65,PoolMatches!$C$2:$C$65,PoolStandings!C33)</f>
        <v>60</v>
      </c>
      <c r="M33" s="48">
        <f t="shared" si="2"/>
        <v>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38.71"/>
    <col customWidth="1" min="3" max="3" width="10.71"/>
    <col customWidth="1" min="4" max="4" width="7.71"/>
    <col customWidth="1" min="5" max="5" width="13.43"/>
    <col customWidth="1" min="6" max="6" width="10.71"/>
    <col customWidth="1" min="7" max="7" width="7.86"/>
    <col customWidth="1" min="8" max="8" width="15.57"/>
    <col customWidth="1" min="9" max="9" width="16.29"/>
    <col customWidth="1" min="10" max="10" width="17.14"/>
    <col customWidth="1" min="11" max="11" width="16.71"/>
    <col customWidth="1" min="12" max="12" width="30.71"/>
    <col customWidth="1" min="13" max="14" width="10.71"/>
    <col customWidth="1" min="15" max="16" width="8.29"/>
    <col customWidth="1" min="17" max="26" width="10.71"/>
  </cols>
  <sheetData>
    <row r="1">
      <c r="A1" s="74"/>
      <c r="B1" s="74" t="s">
        <v>268</v>
      </c>
      <c r="C1" s="75" t="s">
        <v>269</v>
      </c>
      <c r="D1" s="74" t="s">
        <v>270</v>
      </c>
      <c r="E1" s="74" t="s">
        <v>271</v>
      </c>
      <c r="F1" s="74"/>
      <c r="G1" s="74"/>
      <c r="H1" s="74"/>
      <c r="I1" s="74"/>
      <c r="J1" s="74" t="s">
        <v>272</v>
      </c>
      <c r="K1" s="74"/>
      <c r="L1" s="74" t="s">
        <v>222</v>
      </c>
      <c r="M1" s="74" t="s">
        <v>273</v>
      </c>
    </row>
    <row r="2">
      <c r="A2" s="76">
        <v>1.0</v>
      </c>
      <c r="B2" s="74" t="str">
        <f>PoolStandings!C2</f>
        <v>#1, CSEKÖ / TRAUTH</v>
      </c>
      <c r="C2" s="75">
        <f>PoolStandings!M2</f>
        <v>1.875</v>
      </c>
      <c r="D2" s="77">
        <f t="shared" ref="D2:D3" si="1">RANK(C2,C$2:C$3,0)</f>
        <v>1</v>
      </c>
      <c r="E2" s="78">
        <f t="shared" ref="E2:E9" si="2">D2</f>
        <v>1</v>
      </c>
      <c r="F2" s="74"/>
      <c r="G2" s="74"/>
      <c r="H2" s="77" t="str">
        <f t="shared" ref="H2:H3" si="3">IF(E2=1, "Best A1/B1", "Worst A1/B1")</f>
        <v>Best A1/B1</v>
      </c>
      <c r="I2" s="74"/>
      <c r="J2" s="74" t="s">
        <v>274</v>
      </c>
      <c r="K2" s="74"/>
      <c r="L2" s="77" t="str">
        <f t="array" ref="L2">INDEX(B:B,MATCH("Best A1/B1",H:H,0))</f>
        <v>#1, CSEKÖ / TRAUTH</v>
      </c>
      <c r="M2" s="74" t="s">
        <v>275</v>
      </c>
    </row>
    <row r="3">
      <c r="A3" s="79">
        <v>1.0</v>
      </c>
      <c r="B3" s="80" t="str">
        <f>PoolStandings!C6</f>
        <v>#15, KLAFFINGER / ECKELBACHER</v>
      </c>
      <c r="C3" s="75">
        <f>PoolStandings!M6</f>
        <v>1.265306122</v>
      </c>
      <c r="D3" s="81">
        <f t="shared" si="1"/>
        <v>2</v>
      </c>
      <c r="E3" s="78">
        <f t="shared" si="2"/>
        <v>2</v>
      </c>
      <c r="F3" s="82"/>
      <c r="G3" s="80"/>
      <c r="H3" s="77" t="str">
        <f t="shared" si="3"/>
        <v>Worst A1/B1</v>
      </c>
      <c r="I3" s="74"/>
      <c r="J3" s="74" t="s">
        <v>276</v>
      </c>
      <c r="K3" s="74"/>
      <c r="L3" s="77" t="str">
        <f t="array" ref="L3">INDEX(B:B,MATCH("Worst A1/B1",H:H,0))</f>
        <v>#15, KLAFFINGER / ECKELBACHER</v>
      </c>
      <c r="M3" s="74" t="s">
        <v>277</v>
      </c>
    </row>
    <row r="4">
      <c r="A4" s="76">
        <v>1.0</v>
      </c>
      <c r="B4" s="74" t="str">
        <f>PoolStandings!C10</f>
        <v>#3, LAGZDIŅŠ / SPONER</v>
      </c>
      <c r="C4" s="75">
        <f>PoolStandings!M10</f>
        <v>1.105263158</v>
      </c>
      <c r="D4" s="77">
        <f t="shared" ref="D4:D5" si="4">RANK(C4,C$4:C$5,0)</f>
        <v>2</v>
      </c>
      <c r="E4" s="83">
        <f t="shared" si="2"/>
        <v>2</v>
      </c>
      <c r="F4" s="74"/>
      <c r="G4" s="74"/>
      <c r="H4" s="77" t="str">
        <f t="shared" ref="H4:H5" si="5">IF(E4=1, "Best C1/D1", "Worst C1/D1")</f>
        <v>Worst C1/D1</v>
      </c>
      <c r="I4" s="74"/>
      <c r="J4" s="74" t="s">
        <v>278</v>
      </c>
      <c r="K4" s="74"/>
      <c r="L4" s="77" t="str">
        <f t="array" ref="L4">INDEX(B:B,MATCH("Best C1/D1",H:H,0))</f>
        <v>#4, LEITNER / EDER</v>
      </c>
      <c r="M4" s="74" t="s">
        <v>279</v>
      </c>
    </row>
    <row r="5">
      <c r="A5" s="76">
        <v>1.0</v>
      </c>
      <c r="B5" s="74" t="str">
        <f>PoolStandings!C14</f>
        <v>#4, LEITNER / EDER</v>
      </c>
      <c r="C5" s="75">
        <f>PoolStandings!M14</f>
        <v>1.254237288</v>
      </c>
      <c r="D5" s="77">
        <f t="shared" si="4"/>
        <v>1</v>
      </c>
      <c r="E5" s="78">
        <f t="shared" si="2"/>
        <v>1</v>
      </c>
      <c r="F5" s="74"/>
      <c r="G5" s="74"/>
      <c r="H5" s="77" t="str">
        <f t="shared" si="5"/>
        <v>Best C1/D1</v>
      </c>
      <c r="I5" s="74"/>
      <c r="J5" s="74" t="s">
        <v>280</v>
      </c>
      <c r="K5" s="74"/>
      <c r="L5" s="77" t="str">
        <f t="array" ref="L5">INDEX(B:B,MATCH("Worst C1/D1",H:H,0))</f>
        <v>#3, LAGZDIŅŠ / SPONER</v>
      </c>
      <c r="M5" s="74" t="s">
        <v>281</v>
      </c>
    </row>
    <row r="6">
      <c r="A6" s="76">
        <v>1.0</v>
      </c>
      <c r="B6" s="74" t="str">
        <f>PoolStandings!C18</f>
        <v>#12, ALBRECHT / HRADECSNI</v>
      </c>
      <c r="C6" s="75">
        <f>PoolStandings!M18</f>
        <v>1.358490566</v>
      </c>
      <c r="D6" s="77">
        <f t="shared" ref="D6:D7" si="6">RANK(C6,C$6:C$7,0)</f>
        <v>1</v>
      </c>
      <c r="E6" s="78">
        <f t="shared" si="2"/>
        <v>1</v>
      </c>
      <c r="F6" s="74"/>
      <c r="G6" s="74"/>
      <c r="H6" s="77" t="str">
        <f t="shared" ref="H6:H7" si="7">IF(E6=1, "Best E1/F1", "Worst E1/F1")</f>
        <v>Best E1/F1</v>
      </c>
      <c r="I6" s="74"/>
      <c r="J6" s="74" t="s">
        <v>282</v>
      </c>
      <c r="K6" s="74"/>
      <c r="L6" s="77" t="str">
        <f t="array" ref="L6">INDEX(B:B,MATCH("Best E1/F1",H:H,0))</f>
        <v>#12, ALBRECHT / HRADECSNI</v>
      </c>
      <c r="M6" s="74" t="s">
        <v>283</v>
      </c>
    </row>
    <row r="7">
      <c r="A7" s="76">
        <v>1.0</v>
      </c>
      <c r="B7" s="74" t="str">
        <f>PoolStandings!C22</f>
        <v>#6, CUBASCH / NEHULIAIEV</v>
      </c>
      <c r="C7" s="75">
        <f>PoolStandings!M22</f>
        <v>1.333333333</v>
      </c>
      <c r="D7" s="77">
        <f t="shared" si="6"/>
        <v>2</v>
      </c>
      <c r="E7" s="78">
        <f t="shared" si="2"/>
        <v>2</v>
      </c>
      <c r="F7" s="74"/>
      <c r="G7" s="74"/>
      <c r="H7" s="77" t="str">
        <f t="shared" si="7"/>
        <v>Worst E1/F1</v>
      </c>
      <c r="I7" s="74"/>
      <c r="J7" s="74" t="s">
        <v>284</v>
      </c>
      <c r="K7" s="74"/>
      <c r="L7" s="77" t="str">
        <f t="array" ref="L7">INDEX(B:B,MATCH("Worst E1/F1",H:H,0))</f>
        <v>#6, CUBASCH / NEHULIAIEV</v>
      </c>
      <c r="M7" s="74" t="s">
        <v>285</v>
      </c>
    </row>
    <row r="8">
      <c r="A8" s="76">
        <v>1.0</v>
      </c>
      <c r="B8" s="74" t="str">
        <f>PoolStandings!C26</f>
        <v>#10, JANOTTA / OFNER</v>
      </c>
      <c r="C8" s="75">
        <f>PoolStandings!M26</f>
        <v>1.138888889</v>
      </c>
      <c r="D8" s="77">
        <f t="shared" ref="D8:D9" si="8">RANK(C8,C$8:C$9,0)</f>
        <v>2</v>
      </c>
      <c r="E8" s="78">
        <f t="shared" si="2"/>
        <v>2</v>
      </c>
      <c r="F8" s="74"/>
      <c r="G8" s="74"/>
      <c r="H8" s="77" t="str">
        <f t="shared" ref="H8:H9" si="9">IF(E8=1, "Best G1/H1", "Worst G1/H1")</f>
        <v>Worst G1/H1</v>
      </c>
      <c r="I8" s="74"/>
      <c r="J8" s="74" t="s">
        <v>286</v>
      </c>
      <c r="K8" s="74"/>
      <c r="L8" s="77" t="str">
        <f t="array" ref="L8">INDEX(B:B,MATCH("Best G1/H1",H:H,0))</f>
        <v>#8, SCHEUCHER / BAUER</v>
      </c>
      <c r="M8" s="74" t="s">
        <v>287</v>
      </c>
    </row>
    <row r="9">
      <c r="A9" s="76">
        <v>1.0</v>
      </c>
      <c r="B9" s="74" t="str">
        <f>PoolStandings!C30</f>
        <v>#8, SCHEUCHER / BAUER</v>
      </c>
      <c r="C9" s="75">
        <f>PoolStandings!M30</f>
        <v>1.259259259</v>
      </c>
      <c r="D9" s="77">
        <f t="shared" si="8"/>
        <v>1</v>
      </c>
      <c r="E9" s="78">
        <f t="shared" si="2"/>
        <v>1</v>
      </c>
      <c r="F9" s="74"/>
      <c r="G9" s="74"/>
      <c r="H9" s="77" t="str">
        <f t="shared" si="9"/>
        <v>Best G1/H1</v>
      </c>
      <c r="I9" s="74"/>
      <c r="J9" s="74" t="s">
        <v>288</v>
      </c>
      <c r="K9" s="74"/>
      <c r="L9" s="77" t="str">
        <f t="array" ref="L9">INDEX(B:B,MATCH("Worst G1/H1",H:H,0))</f>
        <v>#10, JANOTTA / OFNER</v>
      </c>
      <c r="M9" s="74" t="s">
        <v>289</v>
      </c>
    </row>
    <row r="10">
      <c r="A10" s="74"/>
      <c r="B10" s="74"/>
      <c r="C10" s="75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ht="14.25" customHeight="1">
      <c r="A11" s="76">
        <v>2.0</v>
      </c>
      <c r="B11" s="74" t="str">
        <f>PoolStandings!C3</f>
        <v>#17, NOLL / WEIKERT</v>
      </c>
      <c r="C11" s="75">
        <f>PoolStandings!M3</f>
        <v>0.8857142857</v>
      </c>
      <c r="D11" s="77">
        <f t="shared" ref="D11:D18" si="10">_xlfn.RANK.AVG(C11,C$11:C$18,0)</f>
        <v>8</v>
      </c>
      <c r="E11" s="78">
        <f t="shared" ref="E11:E18" si="11">D11</f>
        <v>8</v>
      </c>
      <c r="F11" s="74"/>
      <c r="G11" s="74"/>
      <c r="H11" s="74" t="s">
        <v>290</v>
      </c>
      <c r="I11" s="77" t="str">
        <f t="array" ref="I11">INDEX($B$11:$B$18,MATCH(1,$E$11:$E$18,0))</f>
        <v>#9, HARTEL / SANDNER</v>
      </c>
      <c r="J11" s="84">
        <v>6.0</v>
      </c>
      <c r="K11" s="85"/>
      <c r="L11" s="77" t="str">
        <f t="array" ref="L11">INDEX($I$11:$I$18,MATCH(1,$J$11:$J$18,0))</f>
        <v>#17, NOLL / WEIKERT</v>
      </c>
      <c r="M11" s="74" t="s">
        <v>291</v>
      </c>
      <c r="O11" s="76">
        <f t="array" ref="O11:O18">SEQUENCE(8)</f>
        <v>1</v>
      </c>
      <c r="P11" s="76">
        <f t="shared" ref="P11:P18" si="12">RAND()</f>
        <v>0.98780276</v>
      </c>
    </row>
    <row r="12">
      <c r="A12" s="76">
        <v>2.0</v>
      </c>
      <c r="B12" s="74" t="str">
        <f>PoolStandings!C7</f>
        <v>#2, FÜHRER / SEISER</v>
      </c>
      <c r="C12" s="75">
        <f>PoolStandings!M7</f>
        <v>0.962962963</v>
      </c>
      <c r="D12" s="77">
        <f t="shared" si="10"/>
        <v>6</v>
      </c>
      <c r="E12" s="78">
        <f t="shared" si="11"/>
        <v>6</v>
      </c>
      <c r="F12" s="74"/>
      <c r="G12" s="74"/>
      <c r="H12" s="74" t="s">
        <v>290</v>
      </c>
      <c r="I12" s="77" t="str">
        <f t="array" ref="I12">INDEX($B$11:$B$18,MATCH(2,$E$11:$E$18,0))</f>
        <v>#7, HOHENAUER / CARMANN</v>
      </c>
      <c r="J12" s="84">
        <v>4.0</v>
      </c>
      <c r="K12" s="74"/>
      <c r="L12" s="77" t="str">
        <f t="array" ref="L12">INDEX($I$11:$I$18,MATCH(2,$J$11:$J$18,0))</f>
        <v>#20, HOFBAUER / BOHACEK</v>
      </c>
      <c r="M12" s="74" t="s">
        <v>292</v>
      </c>
      <c r="O12" s="76">
        <v>2.0</v>
      </c>
      <c r="P12" s="76">
        <f t="shared" si="12"/>
        <v>0.3575725585</v>
      </c>
    </row>
    <row r="13">
      <c r="A13" s="76">
        <v>2.0</v>
      </c>
      <c r="B13" s="74" t="str">
        <f>PoolStandings!C11</f>
        <v>#14, MOROSINI / JOVANOVIĆ</v>
      </c>
      <c r="C13" s="75">
        <f>PoolStandings!M11</f>
        <v>0.9846153846</v>
      </c>
      <c r="D13" s="77">
        <f t="shared" si="10"/>
        <v>5</v>
      </c>
      <c r="E13" s="78">
        <f t="shared" si="11"/>
        <v>5</v>
      </c>
      <c r="F13" s="74"/>
      <c r="G13" s="74"/>
      <c r="H13" s="74" t="s">
        <v>290</v>
      </c>
      <c r="I13" s="77" t="str">
        <f t="array" ref="I13">INDEX($B$11:$B$18,MATCH(3,$E$11:$E$18,0))</f>
        <v>#5, WESP / PFEIFFER</v>
      </c>
      <c r="J13" s="84">
        <v>3.0</v>
      </c>
      <c r="K13" s="74"/>
      <c r="L13" s="77" t="str">
        <f t="array" ref="L13">INDEX($I$11:$I$18,MATCH(3,$J$11:$J$18,0))</f>
        <v>#5, WESP / PFEIFFER</v>
      </c>
      <c r="M13" s="74" t="s">
        <v>293</v>
      </c>
      <c r="O13" s="76">
        <v>3.0</v>
      </c>
      <c r="P13" s="76">
        <f t="shared" si="12"/>
        <v>0.3906285</v>
      </c>
    </row>
    <row r="14">
      <c r="A14" s="76">
        <v>2.0</v>
      </c>
      <c r="B14" s="74" t="str">
        <f>PoolStandings!C15</f>
        <v>#20, HOFBAUER / BOHACEK</v>
      </c>
      <c r="C14" s="75">
        <f>PoolStandings!M15</f>
        <v>1</v>
      </c>
      <c r="D14" s="77">
        <f t="shared" si="10"/>
        <v>4</v>
      </c>
      <c r="E14" s="78">
        <f t="shared" si="11"/>
        <v>4</v>
      </c>
      <c r="F14" s="74"/>
      <c r="G14" s="74"/>
      <c r="H14" s="74" t="s">
        <v>290</v>
      </c>
      <c r="I14" s="77" t="str">
        <f t="array" ref="I14">INDEX($B$11:$B$18,MATCH(4,$E$11:$E$18,0))</f>
        <v>#20, HOFBAUER / BOHACEK</v>
      </c>
      <c r="J14" s="84">
        <v>2.0</v>
      </c>
      <c r="K14" s="74"/>
      <c r="L14" s="77" t="str">
        <f t="array" ref="L14">INDEX($I$11:$I$18,MATCH(4,$J$11:$J$18,0))</f>
        <v>#7, HOHENAUER / CARMANN</v>
      </c>
      <c r="M14" s="74" t="s">
        <v>294</v>
      </c>
      <c r="O14" s="76">
        <v>4.0</v>
      </c>
      <c r="P14" s="76">
        <f t="shared" si="12"/>
        <v>0.4447822788</v>
      </c>
    </row>
    <row r="15">
      <c r="A15" s="76">
        <v>2.0</v>
      </c>
      <c r="B15" s="74" t="str">
        <f>PoolStandings!C19</f>
        <v>#5, WESP / PFEIFFER</v>
      </c>
      <c r="C15" s="75">
        <f>PoolStandings!M19</f>
        <v>1.09375</v>
      </c>
      <c r="D15" s="77">
        <f t="shared" si="10"/>
        <v>3</v>
      </c>
      <c r="E15" s="78">
        <f t="shared" si="11"/>
        <v>3</v>
      </c>
      <c r="F15" s="74"/>
      <c r="G15" s="74"/>
      <c r="H15" s="74" t="s">
        <v>290</v>
      </c>
      <c r="I15" s="77" t="str">
        <f t="array" ref="I15">INDEX($B$11:$B$18,MATCH(5,$E$11:$E$18,0))</f>
        <v>#14, MOROSINI / JOVANOVIĆ</v>
      </c>
      <c r="J15" s="84">
        <v>8.0</v>
      </c>
      <c r="K15" s="74"/>
      <c r="L15" s="77" t="str">
        <f t="array" ref="L15">INDEX($I$11:$I$18,MATCH(5,$J$11:$J$18,0))</f>
        <v>#11, TKACHENKO / KURZMANN</v>
      </c>
      <c r="M15" s="74" t="s">
        <v>295</v>
      </c>
      <c r="O15" s="76">
        <v>5.0</v>
      </c>
      <c r="P15" s="76">
        <f t="shared" si="12"/>
        <v>0.4556251076</v>
      </c>
    </row>
    <row r="16">
      <c r="A16" s="76">
        <v>2.0</v>
      </c>
      <c r="B16" s="74" t="str">
        <f>PoolStandings!C23</f>
        <v>#11, TKACHENKO / KURZMANN</v>
      </c>
      <c r="C16" s="75">
        <f>PoolStandings!M23</f>
        <v>0.9240506329</v>
      </c>
      <c r="D16" s="77">
        <f t="shared" si="10"/>
        <v>7</v>
      </c>
      <c r="E16" s="78">
        <f t="shared" si="11"/>
        <v>7</v>
      </c>
      <c r="F16" s="74"/>
      <c r="G16" s="74"/>
      <c r="H16" s="74" t="s">
        <v>290</v>
      </c>
      <c r="I16" s="77" t="str">
        <f t="array" ref="I16">INDEX($B$11:$B$18,MATCH(6,$E$11:$E$18,0))</f>
        <v>#2, FÜHRER / SEISER</v>
      </c>
      <c r="J16" s="84">
        <v>7.0</v>
      </c>
      <c r="K16" s="74"/>
      <c r="L16" s="77" t="str">
        <f t="array" ref="L16">INDEX($I$11:$I$18,MATCH(6,$J$11:$J$18,0))</f>
        <v>#9, HARTEL / SANDNER</v>
      </c>
      <c r="M16" s="74" t="s">
        <v>296</v>
      </c>
      <c r="O16" s="76">
        <v>6.0</v>
      </c>
      <c r="P16" s="76">
        <f t="shared" si="12"/>
        <v>0.3885731801</v>
      </c>
    </row>
    <row r="17">
      <c r="A17" s="76">
        <v>2.0</v>
      </c>
      <c r="B17" s="74" t="str">
        <f>PoolStandings!C27</f>
        <v>#7, HOHENAUER / CARMANN</v>
      </c>
      <c r="C17" s="75">
        <f>PoolStandings!M27</f>
        <v>1.185714286</v>
      </c>
      <c r="D17" s="77">
        <f t="shared" si="10"/>
        <v>2</v>
      </c>
      <c r="E17" s="78">
        <f t="shared" si="11"/>
        <v>2</v>
      </c>
      <c r="F17" s="74"/>
      <c r="G17" s="74"/>
      <c r="H17" s="74" t="s">
        <v>290</v>
      </c>
      <c r="I17" s="77" t="str">
        <f t="array" ref="I17">INDEX($B$11:$B$18,MATCH(7,$E$11:$E$18,0))</f>
        <v>#11, TKACHENKO / KURZMANN</v>
      </c>
      <c r="J17" s="84">
        <v>5.0</v>
      </c>
      <c r="K17" s="74"/>
      <c r="L17" s="77" t="str">
        <f t="array" ref="L17">INDEX($I$11:$I$18,MATCH(7,$J$11:$J$18,0))</f>
        <v>#2, FÜHRER / SEISER</v>
      </c>
      <c r="M17" s="74" t="s">
        <v>297</v>
      </c>
      <c r="O17" s="76">
        <v>7.0</v>
      </c>
      <c r="P17" s="76">
        <f t="shared" si="12"/>
        <v>0.6116332863</v>
      </c>
    </row>
    <row r="18">
      <c r="A18" s="76">
        <v>2.0</v>
      </c>
      <c r="B18" s="74" t="str">
        <f>PoolStandings!C31</f>
        <v>#9, HARTEL / SANDNER</v>
      </c>
      <c r="C18" s="75">
        <f>PoolStandings!M31</f>
        <v>1.842105263</v>
      </c>
      <c r="D18" s="77">
        <f t="shared" si="10"/>
        <v>1</v>
      </c>
      <c r="E18" s="78">
        <f t="shared" si="11"/>
        <v>1</v>
      </c>
      <c r="F18" s="74"/>
      <c r="G18" s="74"/>
      <c r="H18" s="74" t="s">
        <v>290</v>
      </c>
      <c r="I18" s="77" t="str">
        <f t="array" ref="I18">INDEX($B$11:$B$18,MATCH(8,$E$11:$E$18,0))</f>
        <v>#17, NOLL / WEIKERT</v>
      </c>
      <c r="J18" s="84">
        <v>1.0</v>
      </c>
      <c r="K18" s="74"/>
      <c r="L18" s="77" t="str">
        <f t="array" ref="L18">INDEX($I$11:$I$18,MATCH(8,$J$11:$J$18,0))</f>
        <v>#14, MOROSINI / JOVANOVIĆ</v>
      </c>
      <c r="M18" s="74" t="s">
        <v>298</v>
      </c>
      <c r="O18" s="76">
        <v>8.0</v>
      </c>
      <c r="P18" s="76">
        <f t="shared" si="12"/>
        <v>0.6822214746</v>
      </c>
    </row>
    <row r="19">
      <c r="A19" s="74"/>
      <c r="B19" s="74"/>
      <c r="C19" s="75"/>
      <c r="D19" s="74"/>
      <c r="E19" s="74"/>
      <c r="F19" s="74"/>
      <c r="G19" s="74"/>
      <c r="H19" s="74"/>
      <c r="I19" s="74"/>
      <c r="J19" s="74"/>
      <c r="K19" s="74"/>
      <c r="L19" s="74"/>
      <c r="M19" s="74"/>
      <c r="O19" s="74"/>
      <c r="P19" s="74"/>
    </row>
    <row r="20">
      <c r="A20" s="76">
        <v>3.0</v>
      </c>
      <c r="B20" s="74" t="str">
        <f>PoolStandings!C4</f>
        <v>#16, ZECHA / GRÜNWERTH</v>
      </c>
      <c r="C20" s="75">
        <f>PoolStandings!M4</f>
        <v>1.206896552</v>
      </c>
      <c r="D20" s="77">
        <f t="shared" ref="D20:D27" si="13">RANK(C20,C$20:C$27,0)</f>
        <v>2</v>
      </c>
      <c r="E20" s="78">
        <f t="shared" ref="E20:E23" si="14">D20</f>
        <v>2</v>
      </c>
      <c r="F20" s="74"/>
      <c r="G20" s="74"/>
      <c r="H20" s="74" t="s">
        <v>299</v>
      </c>
      <c r="I20" s="77" t="str">
        <f t="array" ref="I20">INDEX($B$20:$B$27,MATCH(1,$E$20:$E$27,0))</f>
        <v>#25, EICHINGER / REISS</v>
      </c>
      <c r="J20" s="86">
        <v>2.0</v>
      </c>
      <c r="K20" s="74"/>
      <c r="L20" s="77" t="str">
        <f t="array" ref="L20">INDEX($I$20:$I$27,MATCH(1,$J$20:$J$27,0))</f>
        <v>#28, DESSEWFFY / ZABLOUDIL</v>
      </c>
      <c r="M20" s="74" t="s">
        <v>291</v>
      </c>
      <c r="O20" s="76">
        <f t="array" ref="O20:O27">SEQUENCE(8)</f>
        <v>1</v>
      </c>
      <c r="P20" s="76">
        <f t="shared" ref="P20:P27" si="15">RAND()</f>
        <v>0.002746877933</v>
      </c>
    </row>
    <row r="21" ht="15.75" customHeight="1">
      <c r="A21" s="76">
        <v>3.0</v>
      </c>
      <c r="B21" s="74" t="str">
        <f>PoolStandings!C8</f>
        <v>#31, HÖRL / RAUTER</v>
      </c>
      <c r="C21" s="75">
        <f>PoolStandings!M8</f>
        <v>1.030769231</v>
      </c>
      <c r="D21" s="77">
        <f t="shared" si="13"/>
        <v>6</v>
      </c>
      <c r="E21" s="78">
        <f t="shared" si="14"/>
        <v>6</v>
      </c>
      <c r="F21" s="74"/>
      <c r="G21" s="74"/>
      <c r="H21" s="74" t="s">
        <v>299</v>
      </c>
      <c r="I21" s="77" t="str">
        <f t="array" ref="I21">INDEX($B$20:$B$27,MATCH(2,$E$20:$E$27,0))</f>
        <v>#16, ZECHA / GRÜNWERTH</v>
      </c>
      <c r="J21" s="86">
        <v>3.0</v>
      </c>
      <c r="K21" s="74"/>
      <c r="L21" s="77" t="str">
        <f t="array" ref="L21">INDEX($I$20:$I$27,MATCH(2,$J$20:$J$27,0))</f>
        <v>#25, EICHINGER / REISS</v>
      </c>
      <c r="M21" s="74" t="s">
        <v>292</v>
      </c>
      <c r="O21" s="76">
        <v>2.0</v>
      </c>
      <c r="P21" s="76">
        <f t="shared" si="15"/>
        <v>0.3813719086</v>
      </c>
    </row>
    <row r="22" ht="15.75" customHeight="1">
      <c r="A22" s="76">
        <v>3.0</v>
      </c>
      <c r="B22" s="74" t="str">
        <f>PoolStandings!C12</f>
        <v>#30, WEISKIRCHNER / STEINMETZ</v>
      </c>
      <c r="C22" s="75">
        <f>PoolStandings!M12</f>
        <v>1.196721311</v>
      </c>
      <c r="D22" s="77">
        <f t="shared" si="13"/>
        <v>4</v>
      </c>
      <c r="E22" s="78">
        <f t="shared" si="14"/>
        <v>4</v>
      </c>
      <c r="F22" s="74"/>
      <c r="G22" s="74"/>
      <c r="H22" s="74" t="s">
        <v>299</v>
      </c>
      <c r="I22" s="77" t="str">
        <f t="array" ref="I22">INDEX($B$20:$B$27,MATCH(3,$E$20:$E$27,0))</f>
        <v>#22, SCHEBELLA / GRAF</v>
      </c>
      <c r="J22" s="84">
        <v>7.0</v>
      </c>
      <c r="K22" s="74"/>
      <c r="L22" s="77" t="str">
        <f t="array" ref="L22">INDEX($I$20:$I$27,MATCH(3,$J$20:$J$27,0))</f>
        <v>#16, ZECHA / GRÜNWERTH</v>
      </c>
      <c r="M22" s="74" t="s">
        <v>293</v>
      </c>
      <c r="O22" s="76">
        <v>3.0</v>
      </c>
      <c r="P22" s="76">
        <f t="shared" si="15"/>
        <v>0.811495003</v>
      </c>
    </row>
    <row r="23" ht="15.75" customHeight="1">
      <c r="A23" s="76">
        <v>3.0</v>
      </c>
      <c r="B23" s="74" t="str">
        <f>PoolStandings!C16</f>
        <v>#13, BARNABA / HOLEČEK</v>
      </c>
      <c r="C23" s="75">
        <f>PoolStandings!M16</f>
        <v>1.183673469</v>
      </c>
      <c r="D23" s="77">
        <f t="shared" si="13"/>
        <v>5</v>
      </c>
      <c r="E23" s="78">
        <f t="shared" si="14"/>
        <v>5</v>
      </c>
      <c r="F23" s="74"/>
      <c r="G23" s="74"/>
      <c r="H23" s="74" t="s">
        <v>299</v>
      </c>
      <c r="I23" s="77" t="str">
        <f t="array" ref="I23">INDEX($B$20:$B$27,MATCH(4,$E$20:$E$27,0))</f>
        <v>#30, WEISKIRCHNER / STEINMETZ</v>
      </c>
      <c r="J23" s="84">
        <v>5.0</v>
      </c>
      <c r="K23" s="74"/>
      <c r="L23" s="77" t="str">
        <f t="array" ref="L23">INDEX($I$20:$I$27,MATCH(4,$J$20:$J$27,0))</f>
        <v>#23, LANGER / SAFTIUK</v>
      </c>
      <c r="M23" s="74" t="s">
        <v>294</v>
      </c>
      <c r="O23" s="76">
        <v>4.0</v>
      </c>
      <c r="P23" s="76">
        <f t="shared" si="15"/>
        <v>0.8026727346</v>
      </c>
    </row>
    <row r="24" ht="15.75" customHeight="1">
      <c r="A24" s="76">
        <v>3.0</v>
      </c>
      <c r="B24" s="74" t="str">
        <f>PoolStandings!C20</f>
        <v>#28, DESSEWFFY / ZABLOUDIL</v>
      </c>
      <c r="C24" s="75">
        <f>PoolStandings!M20</f>
        <v>1</v>
      </c>
      <c r="D24" s="77">
        <f t="shared" si="13"/>
        <v>7</v>
      </c>
      <c r="E24" s="87">
        <v>8.0</v>
      </c>
      <c r="F24" s="74"/>
      <c r="G24" s="74"/>
      <c r="H24" s="74" t="s">
        <v>299</v>
      </c>
      <c r="I24" s="77" t="str">
        <f t="array" ref="I24">INDEX($B$20:$B$27,MATCH(5,$E$20:$E$27,0))</f>
        <v>#13, BARNABA / HOLEČEK</v>
      </c>
      <c r="J24" s="86">
        <v>8.0</v>
      </c>
      <c r="K24" s="74"/>
      <c r="L24" s="77" t="str">
        <f t="array" ref="L24">INDEX($I$20:$I$27,MATCH(5,$J$20:$J$27,0))</f>
        <v>#30, WEISKIRCHNER / STEINMETZ</v>
      </c>
      <c r="M24" s="74" t="s">
        <v>295</v>
      </c>
      <c r="O24" s="76">
        <v>5.0</v>
      </c>
      <c r="P24" s="76">
        <f t="shared" si="15"/>
        <v>0.03374748466</v>
      </c>
    </row>
    <row r="25" ht="14.25" customHeight="1">
      <c r="A25" s="76">
        <v>3.0</v>
      </c>
      <c r="B25" s="74" t="str">
        <f>PoolStandings!C24</f>
        <v>#22, SCHEBELLA / GRAF</v>
      </c>
      <c r="C25" s="75">
        <f>PoolStandings!M24</f>
        <v>1.206896552</v>
      </c>
      <c r="D25" s="77">
        <f t="shared" si="13"/>
        <v>2</v>
      </c>
      <c r="E25" s="87">
        <v>3.0</v>
      </c>
      <c r="F25" s="74"/>
      <c r="G25" s="80"/>
      <c r="H25" s="74" t="s">
        <v>299</v>
      </c>
      <c r="I25" s="77" t="str">
        <f t="array" ref="I25">INDEX($B$20:$B$27,MATCH(6,$E$20:$E$27,0))</f>
        <v>#31, HÖRL / RAUTER</v>
      </c>
      <c r="J25" s="84">
        <v>6.0</v>
      </c>
      <c r="K25" s="74"/>
      <c r="L25" s="77" t="str">
        <f t="array" ref="L25">INDEX($I$20:$I$27,MATCH(6,$J$20:$J$27,0))</f>
        <v>#31, HÖRL / RAUTER</v>
      </c>
      <c r="M25" s="74" t="s">
        <v>296</v>
      </c>
      <c r="O25" s="76">
        <v>6.0</v>
      </c>
      <c r="P25" s="76">
        <f t="shared" si="15"/>
        <v>0.1783451039</v>
      </c>
    </row>
    <row r="26" ht="15.75" customHeight="1">
      <c r="A26" s="76">
        <v>3.0</v>
      </c>
      <c r="B26" s="74" t="str">
        <f>PoolStandings!C28</f>
        <v>#23, LANGER / SAFTIUK</v>
      </c>
      <c r="C26" s="75">
        <f>PoolStandings!M28</f>
        <v>1</v>
      </c>
      <c r="D26" s="77">
        <f t="shared" si="13"/>
        <v>7</v>
      </c>
      <c r="E26" s="78">
        <f t="shared" ref="E26:E27" si="16">D26</f>
        <v>7</v>
      </c>
      <c r="F26" s="74"/>
      <c r="G26" s="80"/>
      <c r="H26" s="74" t="s">
        <v>299</v>
      </c>
      <c r="I26" s="77" t="str">
        <f t="array" ref="I26">INDEX($B$20:$B$27,MATCH(7,$E$20:$E$27,0))</f>
        <v>#23, LANGER / SAFTIUK</v>
      </c>
      <c r="J26" s="84">
        <v>4.0</v>
      </c>
      <c r="K26" s="74"/>
      <c r="L26" s="77" t="str">
        <f t="array" ref="L26">INDEX($I$20:$I$27,MATCH(7,$J$20:$J$27,0))</f>
        <v>#22, SCHEBELLA / GRAF</v>
      </c>
      <c r="M26" s="74" t="s">
        <v>297</v>
      </c>
      <c r="O26" s="76">
        <v>7.0</v>
      </c>
      <c r="P26" s="76">
        <f t="shared" si="15"/>
        <v>0.8128572425</v>
      </c>
    </row>
    <row r="27" ht="15.75" customHeight="1">
      <c r="A27" s="76">
        <v>3.0</v>
      </c>
      <c r="B27" s="74" t="str">
        <f>PoolStandings!C32</f>
        <v>#25, EICHINGER / REISS</v>
      </c>
      <c r="C27" s="75">
        <f>PoolStandings!M32</f>
        <v>1.466666667</v>
      </c>
      <c r="D27" s="77">
        <f t="shared" si="13"/>
        <v>1</v>
      </c>
      <c r="E27" s="78">
        <f t="shared" si="16"/>
        <v>1</v>
      </c>
      <c r="F27" s="74"/>
      <c r="G27" s="80"/>
      <c r="H27" s="74" t="s">
        <v>299</v>
      </c>
      <c r="I27" s="77" t="str">
        <f t="array" ref="I27">INDEX($B$20:$B$27,MATCH(8,$E$20:$E$27,0))</f>
        <v>#28, DESSEWFFY / ZABLOUDIL</v>
      </c>
      <c r="J27" s="86">
        <v>1.0</v>
      </c>
      <c r="K27" s="74"/>
      <c r="L27" s="77" t="str">
        <f t="array" ref="L27">INDEX($I$20:$I$27,MATCH(8,$J$20:$J$27,0))</f>
        <v>#13, BARNABA / HOLEČEK</v>
      </c>
      <c r="M27" s="74" t="s">
        <v>298</v>
      </c>
      <c r="O27" s="76">
        <v>8.0</v>
      </c>
      <c r="P27" s="76">
        <f t="shared" si="15"/>
        <v>0.2433386491</v>
      </c>
    </row>
    <row r="28" ht="15.75" customHeight="1">
      <c r="A28" s="74"/>
      <c r="B28" s="74"/>
      <c r="C28" s="75"/>
      <c r="D28" s="74"/>
      <c r="E28" s="74"/>
      <c r="F28" s="74"/>
      <c r="G28" s="80"/>
      <c r="H28" s="74"/>
      <c r="I28" s="74"/>
      <c r="J28" s="74"/>
      <c r="K28" s="74"/>
      <c r="L28" s="74"/>
      <c r="M28" s="74"/>
    </row>
    <row r="29" ht="15.0" customHeight="1">
      <c r="A29" s="76">
        <v>4.0</v>
      </c>
      <c r="B29" s="74" t="str">
        <f>PoolStandings!C5</f>
        <v>#32, FLECHL / OELSCHLÄGEL</v>
      </c>
      <c r="C29" s="75">
        <f>PoolStandings!M5</f>
        <v>0.4666666667</v>
      </c>
      <c r="D29" s="74"/>
      <c r="E29" s="88" t="s">
        <v>300</v>
      </c>
      <c r="F29" s="74"/>
      <c r="G29" s="80"/>
      <c r="H29" s="74"/>
      <c r="I29" s="74"/>
      <c r="J29" s="74"/>
      <c r="K29" s="74"/>
      <c r="L29" s="74"/>
      <c r="M29" s="74"/>
    </row>
    <row r="30" ht="15.75" customHeight="1">
      <c r="A30" s="76">
        <v>4.0</v>
      </c>
      <c r="B30" s="74" t="str">
        <f>PoolStandings!C9</f>
        <v>#18, KACZMARCZYK / GRAM</v>
      </c>
      <c r="C30" s="75">
        <f>PoolStandings!M9</f>
        <v>0.8266666667</v>
      </c>
      <c r="D30" s="74"/>
      <c r="F30" s="74"/>
      <c r="G30" s="80"/>
      <c r="H30" s="74"/>
      <c r="I30" s="74"/>
      <c r="J30" s="74"/>
      <c r="K30" s="74"/>
      <c r="L30" s="74"/>
      <c r="M30" s="74"/>
    </row>
    <row r="31" ht="15.75" customHeight="1">
      <c r="A31" s="76">
        <v>4.0</v>
      </c>
      <c r="B31" s="74" t="str">
        <f>PoolStandings!C13</f>
        <v>#19, SUN / LAKOMY</v>
      </c>
      <c r="C31" s="75">
        <f>PoolStandings!M13</f>
        <v>0.6885245902</v>
      </c>
      <c r="D31" s="74"/>
      <c r="F31" s="74"/>
      <c r="G31" s="74"/>
      <c r="H31" s="74"/>
      <c r="I31" s="74"/>
      <c r="J31" s="74"/>
      <c r="K31" s="74"/>
      <c r="L31" s="74"/>
      <c r="M31" s="74"/>
    </row>
    <row r="32" ht="15.75" customHeight="1">
      <c r="A32" s="76">
        <v>4.0</v>
      </c>
      <c r="B32" s="74" t="str">
        <f>PoolStandings!C17</f>
        <v>#29, CHLUP / FREITTER</v>
      </c>
      <c r="C32" s="75">
        <f>PoolStandings!M17</f>
        <v>0.6</v>
      </c>
      <c r="D32" s="74"/>
      <c r="F32" s="74"/>
      <c r="G32" s="74"/>
      <c r="H32" s="74"/>
      <c r="I32" s="74"/>
      <c r="J32" s="74"/>
      <c r="K32" s="74"/>
      <c r="L32" s="74"/>
      <c r="M32" s="74"/>
    </row>
    <row r="33" ht="15.75" customHeight="1">
      <c r="A33" s="76">
        <v>4.0</v>
      </c>
      <c r="B33" s="74" t="str">
        <f>PoolStandings!C21</f>
        <v>#21, JOBST / GAPPNIG</v>
      </c>
      <c r="C33" s="75">
        <f>PoolStandings!M21</f>
        <v>0.6323529412</v>
      </c>
      <c r="D33" s="74"/>
      <c r="F33" s="74"/>
      <c r="G33" s="74"/>
      <c r="H33" s="74"/>
      <c r="I33" s="74"/>
      <c r="J33" s="74"/>
      <c r="K33" s="74"/>
      <c r="L33" s="74"/>
      <c r="M33" s="74"/>
    </row>
    <row r="34" ht="15.75" customHeight="1">
      <c r="A34" s="76">
        <v>4.0</v>
      </c>
      <c r="B34" s="74" t="str">
        <f>PoolStandings!C25</f>
        <v>#27, MALICKI / FLORIÁN</v>
      </c>
      <c r="C34" s="75">
        <f>PoolStandings!M25</f>
        <v>0.619047619</v>
      </c>
      <c r="D34" s="74"/>
      <c r="F34" s="74"/>
      <c r="G34" s="74"/>
      <c r="H34" s="74"/>
      <c r="I34" s="74"/>
      <c r="J34" s="74"/>
      <c r="K34" s="74"/>
      <c r="L34" s="74"/>
      <c r="M34" s="74"/>
    </row>
    <row r="35" ht="15.75" customHeight="1">
      <c r="A35" s="76">
        <v>4.0</v>
      </c>
      <c r="B35" s="74" t="str">
        <f>PoolStandings!C29</f>
        <v>#26, TIWALD / ALTENRIEDERER</v>
      </c>
      <c r="C35" s="75">
        <f>PoolStandings!M29</f>
        <v>0.7294117647</v>
      </c>
      <c r="D35" s="74"/>
      <c r="F35" s="74"/>
      <c r="G35" s="74"/>
      <c r="H35" s="74"/>
      <c r="I35" s="74"/>
      <c r="J35" s="74"/>
      <c r="K35" s="74"/>
      <c r="L35" s="74"/>
      <c r="M35" s="74"/>
    </row>
    <row r="36" ht="15.75" customHeight="1">
      <c r="A36" s="76">
        <v>4.0</v>
      </c>
      <c r="B36" s="74" t="str">
        <f>PoolStandings!C33</f>
        <v>#24, LEPIC / VUKOVIC</v>
      </c>
      <c r="C36" s="75">
        <f>PoolStandings!M33</f>
        <v>0</v>
      </c>
      <c r="D36" s="74"/>
      <c r="F36" s="74"/>
      <c r="G36" s="74"/>
      <c r="H36" s="74"/>
      <c r="I36" s="74"/>
      <c r="J36" s="74"/>
      <c r="K36" s="74"/>
      <c r="L36" s="74"/>
      <c r="M36" s="74"/>
    </row>
    <row r="37" ht="15.75" customHeight="1">
      <c r="C37" s="89"/>
    </row>
    <row r="38" ht="15.75" customHeight="1">
      <c r="C38" s="89"/>
    </row>
    <row r="39" ht="15.75" customHeight="1">
      <c r="C39" s="89"/>
    </row>
    <row r="40" ht="15.75" customHeight="1">
      <c r="C40" s="89"/>
    </row>
    <row r="41" ht="15.75" customHeight="1">
      <c r="C41" s="89"/>
    </row>
    <row r="42" ht="15.75" customHeight="1">
      <c r="C42" s="89"/>
    </row>
    <row r="43" ht="15.75" customHeight="1">
      <c r="C43" s="89"/>
    </row>
    <row r="44" ht="15.75" customHeight="1">
      <c r="C44" s="89"/>
    </row>
    <row r="45" ht="15.75" customHeight="1">
      <c r="C45" s="89"/>
    </row>
    <row r="46" ht="15.75" customHeight="1">
      <c r="C46" s="89"/>
    </row>
    <row r="47" ht="15.75" customHeight="1">
      <c r="C47" s="89"/>
    </row>
    <row r="48" ht="15.75" customHeight="1">
      <c r="C48" s="89"/>
    </row>
    <row r="49" ht="15.75" customHeight="1">
      <c r="C49" s="89"/>
    </row>
    <row r="50" ht="15.75" customHeight="1">
      <c r="C50" s="89"/>
    </row>
    <row r="51" ht="15.75" customHeight="1">
      <c r="C51" s="89"/>
    </row>
    <row r="52" ht="15.75" customHeight="1">
      <c r="C52" s="89"/>
    </row>
    <row r="53" ht="15.75" customHeight="1">
      <c r="C53" s="89"/>
    </row>
    <row r="54" ht="15.75" customHeight="1">
      <c r="C54" s="89"/>
    </row>
    <row r="55" ht="15.75" customHeight="1">
      <c r="C55" s="89"/>
    </row>
    <row r="56" ht="15.75" customHeight="1">
      <c r="C56" s="89"/>
    </row>
    <row r="57" ht="15.75" customHeight="1">
      <c r="C57" s="89"/>
    </row>
    <row r="58" ht="15.75" customHeight="1">
      <c r="C58" s="89"/>
    </row>
    <row r="59" ht="15.75" customHeight="1">
      <c r="C59" s="89"/>
    </row>
    <row r="60" ht="15.75" customHeight="1">
      <c r="C60" s="89"/>
    </row>
    <row r="61" ht="15.75" customHeight="1">
      <c r="C61" s="89"/>
    </row>
    <row r="62" ht="15.75" customHeight="1">
      <c r="C62" s="89"/>
    </row>
    <row r="63" ht="15.75" customHeight="1">
      <c r="C63" s="89"/>
    </row>
    <row r="64" ht="15.75" customHeight="1">
      <c r="C64" s="89"/>
    </row>
    <row r="65" ht="15.75" customHeight="1">
      <c r="C65" s="89"/>
    </row>
    <row r="66" ht="15.75" customHeight="1">
      <c r="C66" s="89"/>
    </row>
    <row r="67" ht="15.75" customHeight="1">
      <c r="C67" s="89"/>
    </row>
    <row r="68" ht="15.75" customHeight="1">
      <c r="C68" s="89"/>
    </row>
    <row r="69" ht="15.75" customHeight="1">
      <c r="C69" s="89"/>
    </row>
    <row r="70" ht="15.75" customHeight="1">
      <c r="C70" s="89"/>
    </row>
    <row r="71" ht="15.75" customHeight="1">
      <c r="C71" s="89"/>
    </row>
    <row r="72" ht="15.75" customHeight="1">
      <c r="C72" s="89"/>
    </row>
    <row r="73" ht="15.75" customHeight="1">
      <c r="C73" s="89"/>
    </row>
    <row r="74" ht="15.75" customHeight="1">
      <c r="C74" s="89"/>
    </row>
    <row r="75" ht="15.75" customHeight="1">
      <c r="C75" s="89"/>
    </row>
    <row r="76" ht="15.75" customHeight="1">
      <c r="C76" s="89"/>
    </row>
    <row r="77" ht="15.75" customHeight="1">
      <c r="C77" s="89"/>
    </row>
    <row r="78" ht="15.75" customHeight="1">
      <c r="C78" s="89"/>
    </row>
    <row r="79" ht="15.75" customHeight="1">
      <c r="C79" s="89"/>
    </row>
    <row r="80" ht="15.75" customHeight="1">
      <c r="C80" s="89"/>
    </row>
    <row r="81" ht="15.75" customHeight="1">
      <c r="C81" s="89"/>
    </row>
    <row r="82" ht="15.75" customHeight="1">
      <c r="C82" s="89"/>
    </row>
    <row r="83" ht="15.75" customHeight="1">
      <c r="C83" s="89"/>
    </row>
    <row r="84" ht="15.75" customHeight="1">
      <c r="C84" s="89"/>
    </row>
    <row r="85" ht="15.75" customHeight="1">
      <c r="C85" s="89"/>
    </row>
    <row r="86" ht="15.75" customHeight="1">
      <c r="C86" s="89"/>
    </row>
    <row r="87" ht="15.75" customHeight="1">
      <c r="C87" s="89"/>
    </row>
    <row r="88" ht="15.75" customHeight="1">
      <c r="C88" s="89"/>
    </row>
    <row r="89" ht="15.75" customHeight="1">
      <c r="C89" s="89"/>
    </row>
    <row r="90" ht="15.75" customHeight="1">
      <c r="C90" s="89"/>
    </row>
    <row r="91" ht="15.75" customHeight="1">
      <c r="C91" s="89"/>
    </row>
    <row r="92" ht="15.75" customHeight="1">
      <c r="C92" s="89"/>
    </row>
    <row r="93" ht="15.75" customHeight="1">
      <c r="C93" s="89"/>
    </row>
    <row r="94" ht="15.75" customHeight="1">
      <c r="C94" s="89"/>
    </row>
    <row r="95" ht="15.75" customHeight="1">
      <c r="C95" s="89"/>
    </row>
    <row r="96" ht="15.75" customHeight="1">
      <c r="C96" s="89"/>
    </row>
    <row r="97" ht="15.75" customHeight="1">
      <c r="C97" s="89"/>
    </row>
    <row r="98" ht="15.75" customHeight="1">
      <c r="C98" s="89"/>
    </row>
    <row r="99" ht="15.75" customHeight="1">
      <c r="C99" s="89"/>
    </row>
    <row r="100" ht="15.75" customHeight="1">
      <c r="C100" s="89"/>
    </row>
    <row r="101" ht="15.75" customHeight="1">
      <c r="C101" s="89"/>
    </row>
    <row r="102" ht="15.75" customHeight="1">
      <c r="C102" s="89"/>
    </row>
    <row r="103" ht="15.75" customHeight="1">
      <c r="C103" s="89"/>
    </row>
    <row r="104" ht="15.75" customHeight="1">
      <c r="C104" s="89"/>
    </row>
    <row r="105" ht="15.75" customHeight="1">
      <c r="C105" s="89"/>
    </row>
    <row r="106" ht="15.75" customHeight="1">
      <c r="C106" s="89"/>
    </row>
    <row r="107" ht="15.75" customHeight="1">
      <c r="C107" s="89"/>
    </row>
    <row r="108" ht="15.75" customHeight="1">
      <c r="C108" s="89"/>
    </row>
    <row r="109" ht="15.75" customHeight="1">
      <c r="C109" s="89"/>
    </row>
    <row r="110" ht="15.75" customHeight="1">
      <c r="C110" s="89"/>
    </row>
    <row r="111" ht="15.75" customHeight="1">
      <c r="C111" s="89"/>
    </row>
    <row r="112" ht="15.75" customHeight="1">
      <c r="C112" s="89"/>
    </row>
    <row r="113" ht="15.75" customHeight="1">
      <c r="C113" s="89"/>
    </row>
    <row r="114" ht="15.75" customHeight="1">
      <c r="C114" s="89"/>
    </row>
    <row r="115" ht="15.75" customHeight="1">
      <c r="C115" s="89"/>
    </row>
    <row r="116" ht="15.75" customHeight="1">
      <c r="C116" s="89"/>
    </row>
    <row r="117" ht="15.75" customHeight="1">
      <c r="C117" s="89"/>
    </row>
    <row r="118" ht="15.75" customHeight="1">
      <c r="C118" s="89"/>
    </row>
    <row r="119" ht="15.75" customHeight="1">
      <c r="C119" s="89"/>
    </row>
    <row r="120" ht="15.75" customHeight="1">
      <c r="C120" s="89"/>
    </row>
    <row r="121" ht="15.75" customHeight="1">
      <c r="C121" s="89"/>
    </row>
    <row r="122" ht="15.75" customHeight="1">
      <c r="C122" s="89"/>
    </row>
    <row r="123" ht="15.75" customHeight="1">
      <c r="C123" s="89"/>
    </row>
    <row r="124" ht="15.75" customHeight="1">
      <c r="C124" s="89"/>
    </row>
    <row r="125" ht="15.75" customHeight="1">
      <c r="C125" s="89"/>
    </row>
    <row r="126" ht="15.75" customHeight="1">
      <c r="C126" s="89"/>
    </row>
    <row r="127" ht="15.75" customHeight="1">
      <c r="C127" s="89"/>
    </row>
    <row r="128" ht="15.75" customHeight="1">
      <c r="C128" s="89"/>
    </row>
    <row r="129" ht="15.75" customHeight="1">
      <c r="C129" s="89"/>
    </row>
    <row r="130" ht="15.75" customHeight="1">
      <c r="C130" s="89"/>
    </row>
    <row r="131" ht="15.75" customHeight="1">
      <c r="C131" s="89"/>
    </row>
    <row r="132" ht="15.75" customHeight="1">
      <c r="C132" s="89"/>
    </row>
    <row r="133" ht="15.75" customHeight="1">
      <c r="C133" s="89"/>
    </row>
    <row r="134" ht="15.75" customHeight="1">
      <c r="C134" s="89"/>
    </row>
    <row r="135" ht="15.75" customHeight="1">
      <c r="C135" s="89"/>
    </row>
    <row r="136" ht="15.75" customHeight="1">
      <c r="C136" s="89"/>
    </row>
    <row r="137" ht="15.75" customHeight="1">
      <c r="C137" s="89"/>
    </row>
    <row r="138" ht="15.75" customHeight="1">
      <c r="C138" s="89"/>
    </row>
    <row r="139" ht="15.75" customHeight="1">
      <c r="C139" s="89"/>
    </row>
    <row r="140" ht="15.75" customHeight="1">
      <c r="C140" s="89"/>
    </row>
    <row r="141" ht="15.75" customHeight="1">
      <c r="C141" s="89"/>
    </row>
    <row r="142" ht="15.75" customHeight="1">
      <c r="C142" s="89"/>
    </row>
    <row r="143" ht="15.75" customHeight="1">
      <c r="C143" s="89"/>
    </row>
    <row r="144" ht="15.75" customHeight="1">
      <c r="C144" s="89"/>
    </row>
    <row r="145" ht="15.75" customHeight="1">
      <c r="C145" s="89"/>
    </row>
    <row r="146" ht="15.75" customHeight="1">
      <c r="C146" s="89"/>
    </row>
    <row r="147" ht="15.75" customHeight="1">
      <c r="C147" s="89"/>
    </row>
    <row r="148" ht="15.75" customHeight="1">
      <c r="C148" s="89"/>
    </row>
    <row r="149" ht="15.75" customHeight="1">
      <c r="C149" s="89"/>
    </row>
    <row r="150" ht="15.75" customHeight="1">
      <c r="C150" s="89"/>
    </row>
    <row r="151" ht="15.75" customHeight="1">
      <c r="C151" s="89"/>
    </row>
    <row r="152" ht="15.75" customHeight="1">
      <c r="C152" s="89"/>
    </row>
    <row r="153" ht="15.75" customHeight="1">
      <c r="C153" s="89"/>
    </row>
    <row r="154" ht="15.75" customHeight="1">
      <c r="C154" s="89"/>
    </row>
    <row r="155" ht="15.75" customHeight="1">
      <c r="C155" s="89"/>
    </row>
    <row r="156" ht="15.75" customHeight="1">
      <c r="C156" s="89"/>
    </row>
    <row r="157" ht="15.75" customHeight="1">
      <c r="C157" s="89"/>
    </row>
    <row r="158" ht="15.75" customHeight="1">
      <c r="C158" s="89"/>
    </row>
    <row r="159" ht="15.75" customHeight="1">
      <c r="C159" s="89"/>
    </row>
    <row r="160" ht="15.75" customHeight="1">
      <c r="C160" s="89"/>
    </row>
    <row r="161" ht="15.75" customHeight="1">
      <c r="C161" s="89"/>
    </row>
    <row r="162" ht="15.75" customHeight="1">
      <c r="C162" s="89"/>
    </row>
    <row r="163" ht="15.75" customHeight="1">
      <c r="C163" s="89"/>
    </row>
    <row r="164" ht="15.75" customHeight="1">
      <c r="C164" s="89"/>
    </row>
    <row r="165" ht="15.75" customHeight="1">
      <c r="C165" s="89"/>
    </row>
    <row r="166" ht="15.75" customHeight="1">
      <c r="C166" s="89"/>
    </row>
    <row r="167" ht="15.75" customHeight="1">
      <c r="C167" s="89"/>
    </row>
    <row r="168" ht="15.75" customHeight="1">
      <c r="C168" s="89"/>
    </row>
    <row r="169" ht="15.75" customHeight="1">
      <c r="C169" s="89"/>
    </row>
    <row r="170" ht="15.75" customHeight="1">
      <c r="C170" s="89"/>
    </row>
    <row r="171" ht="15.75" customHeight="1">
      <c r="C171" s="89"/>
    </row>
    <row r="172" ht="15.75" customHeight="1">
      <c r="C172" s="89"/>
    </row>
    <row r="173" ht="15.75" customHeight="1">
      <c r="C173" s="89"/>
    </row>
    <row r="174" ht="15.75" customHeight="1">
      <c r="C174" s="89"/>
    </row>
    <row r="175" ht="15.75" customHeight="1">
      <c r="C175" s="89"/>
    </row>
    <row r="176" ht="15.75" customHeight="1">
      <c r="C176" s="89"/>
    </row>
    <row r="177" ht="15.75" customHeight="1">
      <c r="C177" s="89"/>
    </row>
    <row r="178" ht="15.75" customHeight="1">
      <c r="C178" s="89"/>
    </row>
    <row r="179" ht="15.75" customHeight="1">
      <c r="C179" s="89"/>
    </row>
    <row r="180" ht="15.75" customHeight="1">
      <c r="C180" s="89"/>
    </row>
    <row r="181" ht="15.75" customHeight="1">
      <c r="C181" s="89"/>
    </row>
    <row r="182" ht="15.75" customHeight="1">
      <c r="C182" s="89"/>
    </row>
    <row r="183" ht="15.75" customHeight="1">
      <c r="C183" s="89"/>
    </row>
    <row r="184" ht="15.75" customHeight="1">
      <c r="C184" s="89"/>
    </row>
    <row r="185" ht="15.75" customHeight="1">
      <c r="C185" s="89"/>
    </row>
    <row r="186" ht="15.75" customHeight="1">
      <c r="C186" s="89"/>
    </row>
    <row r="187" ht="15.75" customHeight="1">
      <c r="C187" s="89"/>
    </row>
    <row r="188" ht="15.75" customHeight="1">
      <c r="C188" s="89"/>
    </row>
    <row r="189" ht="15.75" customHeight="1">
      <c r="C189" s="89"/>
    </row>
    <row r="190" ht="15.75" customHeight="1">
      <c r="C190" s="89"/>
    </row>
    <row r="191" ht="15.75" customHeight="1">
      <c r="C191" s="89"/>
    </row>
    <row r="192" ht="15.75" customHeight="1">
      <c r="C192" s="89"/>
    </row>
    <row r="193" ht="15.75" customHeight="1">
      <c r="C193" s="89"/>
    </row>
    <row r="194" ht="15.75" customHeight="1">
      <c r="C194" s="89"/>
    </row>
    <row r="195" ht="15.75" customHeight="1">
      <c r="C195" s="89"/>
    </row>
    <row r="196" ht="15.75" customHeight="1">
      <c r="C196" s="89"/>
    </row>
    <row r="197" ht="15.75" customHeight="1">
      <c r="C197" s="89"/>
    </row>
    <row r="198" ht="15.75" customHeight="1">
      <c r="C198" s="89"/>
    </row>
    <row r="199" ht="15.75" customHeight="1">
      <c r="C199" s="89"/>
    </row>
    <row r="200" ht="15.75" customHeight="1">
      <c r="C200" s="89"/>
    </row>
    <row r="201" ht="15.75" customHeight="1">
      <c r="C201" s="89"/>
    </row>
    <row r="202" ht="15.75" customHeight="1">
      <c r="C202" s="89"/>
    </row>
    <row r="203" ht="15.75" customHeight="1">
      <c r="C203" s="89"/>
    </row>
    <row r="204" ht="15.75" customHeight="1">
      <c r="C204" s="89"/>
    </row>
    <row r="205" ht="15.75" customHeight="1">
      <c r="C205" s="89"/>
    </row>
    <row r="206" ht="15.75" customHeight="1">
      <c r="C206" s="89"/>
    </row>
    <row r="207" ht="15.75" customHeight="1">
      <c r="C207" s="89"/>
    </row>
    <row r="208" ht="15.75" customHeight="1">
      <c r="C208" s="89"/>
    </row>
    <row r="209" ht="15.75" customHeight="1">
      <c r="C209" s="89"/>
    </row>
    <row r="210" ht="15.75" customHeight="1">
      <c r="C210" s="89"/>
    </row>
    <row r="211" ht="15.75" customHeight="1">
      <c r="C211" s="89"/>
    </row>
    <row r="212" ht="15.75" customHeight="1">
      <c r="C212" s="89"/>
    </row>
    <row r="213" ht="15.75" customHeight="1">
      <c r="C213" s="89"/>
    </row>
    <row r="214" ht="15.75" customHeight="1">
      <c r="C214" s="89"/>
    </row>
    <row r="215" ht="15.75" customHeight="1">
      <c r="C215" s="89"/>
    </row>
    <row r="216" ht="15.75" customHeight="1">
      <c r="C216" s="89"/>
    </row>
    <row r="217" ht="15.75" customHeight="1">
      <c r="C217" s="89"/>
    </row>
    <row r="218" ht="15.75" customHeight="1">
      <c r="C218" s="89"/>
    </row>
    <row r="219" ht="15.75" customHeight="1">
      <c r="C219" s="89"/>
    </row>
    <row r="220" ht="15.75" customHeight="1">
      <c r="C220" s="89"/>
    </row>
    <row r="221" ht="15.75" customHeight="1">
      <c r="C221" s="89"/>
    </row>
    <row r="222" ht="15.75" customHeight="1">
      <c r="C222" s="89"/>
    </row>
    <row r="223" ht="15.75" customHeight="1">
      <c r="C223" s="89"/>
    </row>
    <row r="224" ht="15.75" customHeight="1">
      <c r="C224" s="89"/>
    </row>
    <row r="225" ht="15.75" customHeight="1">
      <c r="C225" s="89"/>
    </row>
    <row r="226" ht="15.75" customHeight="1">
      <c r="C226" s="89"/>
    </row>
    <row r="227" ht="15.75" customHeight="1">
      <c r="C227" s="89"/>
    </row>
    <row r="228" ht="15.75" customHeight="1">
      <c r="C228" s="89"/>
    </row>
    <row r="229" ht="15.75" customHeight="1">
      <c r="C229" s="89"/>
    </row>
    <row r="230" ht="15.75" customHeight="1">
      <c r="C230" s="89"/>
    </row>
    <row r="231" ht="15.75" customHeight="1">
      <c r="C231" s="89"/>
    </row>
    <row r="232" ht="15.75" customHeight="1">
      <c r="C232" s="89"/>
    </row>
    <row r="233" ht="15.75" customHeight="1">
      <c r="C233" s="89"/>
    </row>
    <row r="234" ht="15.75" customHeight="1">
      <c r="C234" s="89"/>
    </row>
    <row r="235" ht="15.75" customHeight="1">
      <c r="C235" s="89"/>
    </row>
    <row r="236" ht="15.75" customHeight="1">
      <c r="C236" s="89"/>
    </row>
    <row r="237" ht="15.75" customHeight="1">
      <c r="C237" s="89"/>
    </row>
    <row r="238" ht="15.75" customHeight="1">
      <c r="C238" s="89"/>
    </row>
    <row r="239" ht="15.75" customHeight="1">
      <c r="C239" s="89"/>
    </row>
    <row r="240" ht="15.75" customHeight="1">
      <c r="C240" s="89"/>
    </row>
    <row r="241" ht="15.75" customHeight="1">
      <c r="C241" s="89"/>
    </row>
    <row r="242" ht="15.75" customHeight="1">
      <c r="C242" s="89"/>
    </row>
    <row r="243" ht="15.75" customHeight="1">
      <c r="C243" s="89"/>
    </row>
    <row r="244" ht="15.75" customHeight="1">
      <c r="C244" s="89"/>
    </row>
    <row r="245" ht="15.75" customHeight="1">
      <c r="C245" s="89"/>
    </row>
    <row r="246" ht="15.75" customHeight="1">
      <c r="C246" s="89"/>
    </row>
    <row r="247" ht="15.75" customHeight="1">
      <c r="C247" s="89"/>
    </row>
    <row r="248" ht="15.75" customHeight="1">
      <c r="C248" s="89"/>
    </row>
    <row r="249" ht="15.75" customHeight="1">
      <c r="C249" s="89"/>
    </row>
    <row r="250" ht="15.75" customHeight="1">
      <c r="C250" s="89"/>
    </row>
    <row r="251" ht="15.75" customHeight="1">
      <c r="C251" s="89"/>
    </row>
    <row r="252" ht="15.75" customHeight="1">
      <c r="C252" s="89"/>
    </row>
    <row r="253" ht="15.75" customHeight="1">
      <c r="C253" s="89"/>
    </row>
    <row r="254" ht="15.75" customHeight="1">
      <c r="C254" s="89"/>
    </row>
    <row r="255" ht="15.75" customHeight="1">
      <c r="C255" s="89"/>
    </row>
    <row r="256" ht="15.75" customHeight="1">
      <c r="C256" s="89"/>
    </row>
    <row r="257" ht="15.75" customHeight="1">
      <c r="C257" s="89"/>
    </row>
    <row r="258" ht="15.75" customHeight="1">
      <c r="C258" s="89"/>
    </row>
    <row r="259" ht="15.75" customHeight="1">
      <c r="C259" s="89"/>
    </row>
    <row r="260" ht="15.75" customHeight="1">
      <c r="C260" s="89"/>
    </row>
    <row r="261" ht="15.75" customHeight="1">
      <c r="C261" s="89"/>
    </row>
    <row r="262" ht="15.75" customHeight="1">
      <c r="C262" s="89"/>
    </row>
    <row r="263" ht="15.75" customHeight="1">
      <c r="C263" s="89"/>
    </row>
    <row r="264" ht="15.75" customHeight="1">
      <c r="C264" s="89"/>
    </row>
    <row r="265" ht="15.75" customHeight="1">
      <c r="C265" s="89"/>
    </row>
    <row r="266" ht="15.75" customHeight="1">
      <c r="C266" s="89"/>
    </row>
    <row r="267" ht="15.75" customHeight="1">
      <c r="C267" s="89"/>
    </row>
    <row r="268" ht="15.75" customHeight="1">
      <c r="C268" s="89"/>
    </row>
    <row r="269" ht="15.75" customHeight="1">
      <c r="C269" s="89"/>
    </row>
    <row r="270" ht="15.75" customHeight="1">
      <c r="C270" s="89"/>
    </row>
    <row r="271" ht="15.75" customHeight="1">
      <c r="C271" s="89"/>
    </row>
    <row r="272" ht="15.75" customHeight="1">
      <c r="C272" s="89"/>
    </row>
    <row r="273" ht="15.75" customHeight="1">
      <c r="C273" s="89"/>
    </row>
    <row r="274" ht="15.75" customHeight="1">
      <c r="C274" s="89"/>
    </row>
    <row r="275" ht="15.75" customHeight="1">
      <c r="C275" s="89"/>
    </row>
    <row r="276" ht="15.75" customHeight="1">
      <c r="C276" s="89"/>
    </row>
    <row r="277" ht="15.75" customHeight="1">
      <c r="C277" s="89"/>
    </row>
    <row r="278" ht="15.75" customHeight="1">
      <c r="C278" s="89"/>
    </row>
    <row r="279" ht="15.75" customHeight="1">
      <c r="C279" s="89"/>
    </row>
    <row r="280" ht="15.75" customHeight="1">
      <c r="C280" s="89"/>
    </row>
    <row r="281" ht="15.75" customHeight="1">
      <c r="C281" s="89"/>
    </row>
    <row r="282" ht="15.75" customHeight="1">
      <c r="C282" s="89"/>
    </row>
    <row r="283" ht="15.75" customHeight="1">
      <c r="C283" s="89"/>
    </row>
    <row r="284" ht="15.75" customHeight="1">
      <c r="C284" s="89"/>
    </row>
    <row r="285" ht="15.75" customHeight="1">
      <c r="C285" s="89"/>
    </row>
    <row r="286" ht="15.75" customHeight="1">
      <c r="C286" s="89"/>
    </row>
    <row r="287" ht="15.75" customHeight="1">
      <c r="C287" s="89"/>
    </row>
    <row r="288" ht="15.75" customHeight="1">
      <c r="C288" s="89"/>
    </row>
    <row r="289" ht="15.75" customHeight="1">
      <c r="C289" s="89"/>
    </row>
    <row r="290" ht="15.75" customHeight="1">
      <c r="C290" s="89"/>
    </row>
    <row r="291" ht="15.75" customHeight="1">
      <c r="C291" s="89"/>
    </row>
    <row r="292" ht="15.75" customHeight="1">
      <c r="C292" s="89"/>
    </row>
    <row r="293" ht="15.75" customHeight="1">
      <c r="C293" s="89"/>
    </row>
    <row r="294" ht="15.75" customHeight="1">
      <c r="C294" s="89"/>
    </row>
    <row r="295" ht="15.75" customHeight="1">
      <c r="C295" s="89"/>
    </row>
    <row r="296" ht="15.75" customHeight="1">
      <c r="C296" s="89"/>
    </row>
    <row r="297" ht="15.75" customHeight="1">
      <c r="C297" s="89"/>
    </row>
    <row r="298" ht="15.75" customHeight="1">
      <c r="C298" s="89"/>
    </row>
    <row r="299" ht="15.75" customHeight="1">
      <c r="C299" s="89"/>
    </row>
    <row r="300" ht="15.75" customHeight="1">
      <c r="C300" s="89"/>
    </row>
    <row r="301" ht="15.75" customHeight="1">
      <c r="C301" s="89"/>
    </row>
    <row r="302" ht="15.75" customHeight="1">
      <c r="C302" s="89"/>
    </row>
    <row r="303" ht="15.75" customHeight="1">
      <c r="C303" s="89"/>
    </row>
    <row r="304" ht="15.75" customHeight="1">
      <c r="C304" s="89"/>
    </row>
    <row r="305" ht="15.75" customHeight="1">
      <c r="C305" s="89"/>
    </row>
    <row r="306" ht="15.75" customHeight="1">
      <c r="C306" s="89"/>
    </row>
    <row r="307" ht="15.75" customHeight="1">
      <c r="C307" s="89"/>
    </row>
    <row r="308" ht="15.75" customHeight="1">
      <c r="C308" s="89"/>
    </row>
    <row r="309" ht="15.75" customHeight="1">
      <c r="C309" s="89"/>
    </row>
    <row r="310" ht="15.75" customHeight="1">
      <c r="C310" s="89"/>
    </row>
    <row r="311" ht="15.75" customHeight="1">
      <c r="C311" s="89"/>
    </row>
    <row r="312" ht="15.75" customHeight="1">
      <c r="C312" s="89"/>
    </row>
    <row r="313" ht="15.75" customHeight="1">
      <c r="C313" s="89"/>
    </row>
    <row r="314" ht="15.75" customHeight="1">
      <c r="C314" s="89"/>
    </row>
    <row r="315" ht="15.75" customHeight="1">
      <c r="C315" s="89"/>
    </row>
    <row r="316" ht="15.75" customHeight="1">
      <c r="C316" s="89"/>
    </row>
    <row r="317" ht="15.75" customHeight="1">
      <c r="C317" s="89"/>
    </row>
    <row r="318" ht="15.75" customHeight="1">
      <c r="C318" s="89"/>
    </row>
    <row r="319" ht="15.75" customHeight="1">
      <c r="C319" s="89"/>
    </row>
    <row r="320" ht="15.75" customHeight="1">
      <c r="C320" s="89"/>
    </row>
    <row r="321" ht="15.75" customHeight="1">
      <c r="C321" s="89"/>
    </row>
    <row r="322" ht="15.75" customHeight="1">
      <c r="C322" s="89"/>
    </row>
    <row r="323" ht="15.75" customHeight="1">
      <c r="C323" s="89"/>
    </row>
    <row r="324" ht="15.75" customHeight="1">
      <c r="C324" s="89"/>
    </row>
    <row r="325" ht="15.75" customHeight="1">
      <c r="C325" s="89"/>
    </row>
    <row r="326" ht="15.75" customHeight="1">
      <c r="C326" s="89"/>
    </row>
    <row r="327" ht="15.75" customHeight="1">
      <c r="C327" s="89"/>
    </row>
    <row r="328" ht="15.75" customHeight="1">
      <c r="C328" s="89"/>
    </row>
    <row r="329" ht="15.75" customHeight="1">
      <c r="C329" s="89"/>
    </row>
    <row r="330" ht="15.75" customHeight="1">
      <c r="C330" s="89"/>
    </row>
    <row r="331" ht="15.75" customHeight="1">
      <c r="C331" s="89"/>
    </row>
    <row r="332" ht="15.75" customHeight="1">
      <c r="C332" s="89"/>
    </row>
    <row r="333" ht="15.75" customHeight="1">
      <c r="C333" s="89"/>
    </row>
    <row r="334" ht="15.75" customHeight="1">
      <c r="C334" s="89"/>
    </row>
    <row r="335" ht="15.75" customHeight="1">
      <c r="C335" s="89"/>
    </row>
    <row r="336" ht="15.75" customHeight="1">
      <c r="C336" s="89"/>
    </row>
    <row r="337" ht="15.75" customHeight="1">
      <c r="C337" s="89"/>
    </row>
    <row r="338" ht="15.75" customHeight="1">
      <c r="C338" s="89"/>
    </row>
    <row r="339" ht="15.75" customHeight="1">
      <c r="C339" s="89"/>
    </row>
    <row r="340" ht="15.75" customHeight="1">
      <c r="C340" s="89"/>
    </row>
    <row r="341" ht="15.75" customHeight="1">
      <c r="C341" s="89"/>
    </row>
    <row r="342" ht="15.75" customHeight="1">
      <c r="C342" s="89"/>
    </row>
    <row r="343" ht="15.75" customHeight="1">
      <c r="C343" s="89"/>
    </row>
    <row r="344" ht="15.75" customHeight="1">
      <c r="C344" s="89"/>
    </row>
    <row r="345" ht="15.75" customHeight="1">
      <c r="C345" s="89"/>
    </row>
    <row r="346" ht="15.75" customHeight="1">
      <c r="C346" s="89"/>
    </row>
    <row r="347" ht="15.75" customHeight="1">
      <c r="C347" s="89"/>
    </row>
    <row r="348" ht="15.75" customHeight="1">
      <c r="C348" s="89"/>
    </row>
    <row r="349" ht="15.75" customHeight="1">
      <c r="C349" s="89"/>
    </row>
    <row r="350" ht="15.75" customHeight="1">
      <c r="C350" s="89"/>
    </row>
    <row r="351" ht="15.75" customHeight="1">
      <c r="C351" s="89"/>
    </row>
    <row r="352" ht="15.75" customHeight="1">
      <c r="C352" s="89"/>
    </row>
    <row r="353" ht="15.75" customHeight="1">
      <c r="C353" s="89"/>
    </row>
    <row r="354" ht="15.75" customHeight="1">
      <c r="C354" s="89"/>
    </row>
    <row r="355" ht="15.75" customHeight="1">
      <c r="C355" s="89"/>
    </row>
    <row r="356" ht="15.75" customHeight="1">
      <c r="C356" s="89"/>
    </row>
    <row r="357" ht="15.75" customHeight="1">
      <c r="C357" s="89"/>
    </row>
    <row r="358" ht="15.75" customHeight="1">
      <c r="C358" s="89"/>
    </row>
    <row r="359" ht="15.75" customHeight="1">
      <c r="C359" s="89"/>
    </row>
    <row r="360" ht="15.75" customHeight="1">
      <c r="C360" s="89"/>
    </row>
    <row r="361" ht="15.75" customHeight="1">
      <c r="C361" s="89"/>
    </row>
    <row r="362" ht="15.75" customHeight="1">
      <c r="C362" s="89"/>
    </row>
    <row r="363" ht="15.75" customHeight="1">
      <c r="C363" s="89"/>
    </row>
    <row r="364" ht="15.75" customHeight="1">
      <c r="C364" s="89"/>
    </row>
    <row r="365" ht="15.75" customHeight="1">
      <c r="C365" s="89"/>
    </row>
    <row r="366" ht="15.75" customHeight="1">
      <c r="C366" s="89"/>
    </row>
    <row r="367" ht="15.75" customHeight="1">
      <c r="C367" s="89"/>
    </row>
    <row r="368" ht="15.75" customHeight="1">
      <c r="C368" s="89"/>
    </row>
    <row r="369" ht="15.75" customHeight="1">
      <c r="C369" s="89"/>
    </row>
    <row r="370" ht="15.75" customHeight="1">
      <c r="C370" s="89"/>
    </row>
    <row r="371" ht="15.75" customHeight="1">
      <c r="C371" s="89"/>
    </row>
    <row r="372" ht="15.75" customHeight="1">
      <c r="C372" s="89"/>
    </row>
    <row r="373" ht="15.75" customHeight="1">
      <c r="C373" s="89"/>
    </row>
    <row r="374" ht="15.75" customHeight="1">
      <c r="C374" s="89"/>
    </row>
    <row r="375" ht="15.75" customHeight="1">
      <c r="C375" s="89"/>
    </row>
    <row r="376" ht="15.75" customHeight="1">
      <c r="C376" s="89"/>
    </row>
    <row r="377" ht="15.75" customHeight="1">
      <c r="C377" s="89"/>
    </row>
    <row r="378" ht="15.75" customHeight="1">
      <c r="C378" s="89"/>
    </row>
    <row r="379" ht="15.75" customHeight="1">
      <c r="C379" s="89"/>
    </row>
    <row r="380" ht="15.75" customHeight="1">
      <c r="C380" s="89"/>
    </row>
    <row r="381" ht="15.75" customHeight="1">
      <c r="C381" s="89"/>
    </row>
    <row r="382" ht="15.75" customHeight="1">
      <c r="C382" s="89"/>
    </row>
    <row r="383" ht="15.75" customHeight="1">
      <c r="C383" s="89"/>
    </row>
    <row r="384" ht="15.75" customHeight="1">
      <c r="C384" s="89"/>
    </row>
    <row r="385" ht="15.75" customHeight="1">
      <c r="C385" s="89"/>
    </row>
    <row r="386" ht="15.75" customHeight="1">
      <c r="C386" s="89"/>
    </row>
    <row r="387" ht="15.75" customHeight="1">
      <c r="C387" s="89"/>
    </row>
    <row r="388" ht="15.75" customHeight="1">
      <c r="C388" s="89"/>
    </row>
    <row r="389" ht="15.75" customHeight="1">
      <c r="C389" s="89"/>
    </row>
    <row r="390" ht="15.75" customHeight="1">
      <c r="C390" s="89"/>
    </row>
    <row r="391" ht="15.75" customHeight="1">
      <c r="C391" s="89"/>
    </row>
    <row r="392" ht="15.75" customHeight="1">
      <c r="C392" s="89"/>
    </row>
    <row r="393" ht="15.75" customHeight="1">
      <c r="C393" s="89"/>
    </row>
    <row r="394" ht="15.75" customHeight="1">
      <c r="C394" s="89"/>
    </row>
    <row r="395" ht="15.75" customHeight="1">
      <c r="C395" s="89"/>
    </row>
    <row r="396" ht="15.75" customHeight="1">
      <c r="C396" s="89"/>
    </row>
    <row r="397" ht="15.75" customHeight="1">
      <c r="C397" s="89"/>
    </row>
    <row r="398" ht="15.75" customHeight="1">
      <c r="C398" s="89"/>
    </row>
    <row r="399" ht="15.75" customHeight="1">
      <c r="C399" s="89"/>
    </row>
    <row r="400" ht="15.75" customHeight="1">
      <c r="C400" s="89"/>
    </row>
    <row r="401" ht="15.75" customHeight="1">
      <c r="C401" s="89"/>
    </row>
    <row r="402" ht="15.75" customHeight="1">
      <c r="C402" s="89"/>
    </row>
    <row r="403" ht="15.75" customHeight="1">
      <c r="C403" s="89"/>
    </row>
    <row r="404" ht="15.75" customHeight="1">
      <c r="C404" s="89"/>
    </row>
    <row r="405" ht="15.75" customHeight="1">
      <c r="C405" s="89"/>
    </row>
    <row r="406" ht="15.75" customHeight="1">
      <c r="C406" s="89"/>
    </row>
    <row r="407" ht="15.75" customHeight="1">
      <c r="C407" s="89"/>
    </row>
    <row r="408" ht="15.75" customHeight="1">
      <c r="C408" s="89"/>
    </row>
    <row r="409" ht="15.75" customHeight="1">
      <c r="C409" s="89"/>
    </row>
    <row r="410" ht="15.75" customHeight="1">
      <c r="C410" s="89"/>
    </row>
    <row r="411" ht="15.75" customHeight="1">
      <c r="C411" s="89"/>
    </row>
    <row r="412" ht="15.75" customHeight="1">
      <c r="C412" s="89"/>
    </row>
    <row r="413" ht="15.75" customHeight="1">
      <c r="C413" s="89"/>
    </row>
    <row r="414" ht="15.75" customHeight="1">
      <c r="C414" s="89"/>
    </row>
    <row r="415" ht="15.75" customHeight="1">
      <c r="C415" s="89"/>
    </row>
    <row r="416" ht="15.75" customHeight="1">
      <c r="C416" s="89"/>
    </row>
    <row r="417" ht="15.75" customHeight="1">
      <c r="C417" s="89"/>
    </row>
    <row r="418" ht="15.75" customHeight="1">
      <c r="C418" s="89"/>
    </row>
    <row r="419" ht="15.75" customHeight="1">
      <c r="C419" s="89"/>
    </row>
    <row r="420" ht="15.75" customHeight="1">
      <c r="C420" s="89"/>
    </row>
    <row r="421" ht="15.75" customHeight="1">
      <c r="C421" s="89"/>
    </row>
    <row r="422" ht="15.75" customHeight="1">
      <c r="C422" s="89"/>
    </row>
    <row r="423" ht="15.75" customHeight="1">
      <c r="C423" s="89"/>
    </row>
    <row r="424" ht="15.75" customHeight="1">
      <c r="C424" s="89"/>
    </row>
    <row r="425" ht="15.75" customHeight="1">
      <c r="C425" s="89"/>
    </row>
    <row r="426" ht="15.75" customHeight="1">
      <c r="C426" s="89"/>
    </row>
    <row r="427" ht="15.75" customHeight="1">
      <c r="C427" s="89"/>
    </row>
    <row r="428" ht="15.75" customHeight="1">
      <c r="C428" s="89"/>
    </row>
    <row r="429" ht="15.75" customHeight="1">
      <c r="C429" s="89"/>
    </row>
    <row r="430" ht="15.75" customHeight="1">
      <c r="C430" s="89"/>
    </row>
    <row r="431" ht="15.75" customHeight="1">
      <c r="C431" s="89"/>
    </row>
    <row r="432" ht="15.75" customHeight="1">
      <c r="C432" s="89"/>
    </row>
    <row r="433" ht="15.75" customHeight="1">
      <c r="C433" s="89"/>
    </row>
    <row r="434" ht="15.75" customHeight="1">
      <c r="C434" s="89"/>
    </row>
    <row r="435" ht="15.75" customHeight="1">
      <c r="C435" s="89"/>
    </row>
    <row r="436" ht="15.75" customHeight="1">
      <c r="C436" s="89"/>
    </row>
    <row r="437" ht="15.75" customHeight="1">
      <c r="C437" s="89"/>
    </row>
    <row r="438" ht="15.75" customHeight="1">
      <c r="C438" s="89"/>
    </row>
    <row r="439" ht="15.75" customHeight="1">
      <c r="C439" s="89"/>
    </row>
    <row r="440" ht="15.75" customHeight="1">
      <c r="C440" s="89"/>
    </row>
    <row r="441" ht="15.75" customHeight="1">
      <c r="C441" s="89"/>
    </row>
    <row r="442" ht="15.75" customHeight="1">
      <c r="C442" s="89"/>
    </row>
    <row r="443" ht="15.75" customHeight="1">
      <c r="C443" s="89"/>
    </row>
    <row r="444" ht="15.75" customHeight="1">
      <c r="C444" s="89"/>
    </row>
    <row r="445" ht="15.75" customHeight="1">
      <c r="C445" s="89"/>
    </row>
    <row r="446" ht="15.75" customHeight="1">
      <c r="C446" s="89"/>
    </row>
    <row r="447" ht="15.75" customHeight="1">
      <c r="C447" s="89"/>
    </row>
    <row r="448" ht="15.75" customHeight="1">
      <c r="C448" s="89"/>
    </row>
    <row r="449" ht="15.75" customHeight="1">
      <c r="C449" s="89"/>
    </row>
    <row r="450" ht="15.75" customHeight="1">
      <c r="C450" s="89"/>
    </row>
    <row r="451" ht="15.75" customHeight="1">
      <c r="C451" s="89"/>
    </row>
    <row r="452" ht="15.75" customHeight="1">
      <c r="C452" s="89"/>
    </row>
    <row r="453" ht="15.75" customHeight="1">
      <c r="C453" s="89"/>
    </row>
    <row r="454" ht="15.75" customHeight="1">
      <c r="C454" s="89"/>
    </row>
    <row r="455" ht="15.75" customHeight="1">
      <c r="C455" s="89"/>
    </row>
    <row r="456" ht="15.75" customHeight="1">
      <c r="C456" s="89"/>
    </row>
    <row r="457" ht="15.75" customHeight="1">
      <c r="C457" s="89"/>
    </row>
    <row r="458" ht="15.75" customHeight="1">
      <c r="C458" s="89"/>
    </row>
    <row r="459" ht="15.75" customHeight="1">
      <c r="C459" s="89"/>
    </row>
    <row r="460" ht="15.75" customHeight="1">
      <c r="C460" s="89"/>
    </row>
    <row r="461" ht="15.75" customHeight="1">
      <c r="C461" s="89"/>
    </row>
    <row r="462" ht="15.75" customHeight="1">
      <c r="C462" s="89"/>
    </row>
    <row r="463" ht="15.75" customHeight="1">
      <c r="C463" s="89"/>
    </row>
    <row r="464" ht="15.75" customHeight="1">
      <c r="C464" s="89"/>
    </row>
    <row r="465" ht="15.75" customHeight="1">
      <c r="C465" s="89"/>
    </row>
    <row r="466" ht="15.75" customHeight="1">
      <c r="C466" s="89"/>
    </row>
    <row r="467" ht="15.75" customHeight="1">
      <c r="C467" s="89"/>
    </row>
    <row r="468" ht="15.75" customHeight="1">
      <c r="C468" s="89"/>
    </row>
    <row r="469" ht="15.75" customHeight="1">
      <c r="C469" s="89"/>
    </row>
    <row r="470" ht="15.75" customHeight="1">
      <c r="C470" s="89"/>
    </row>
    <row r="471" ht="15.75" customHeight="1">
      <c r="C471" s="89"/>
    </row>
    <row r="472" ht="15.75" customHeight="1">
      <c r="C472" s="89"/>
    </row>
    <row r="473" ht="15.75" customHeight="1">
      <c r="C473" s="89"/>
    </row>
    <row r="474" ht="15.75" customHeight="1">
      <c r="C474" s="89"/>
    </row>
    <row r="475" ht="15.75" customHeight="1">
      <c r="C475" s="89"/>
    </row>
    <row r="476" ht="15.75" customHeight="1">
      <c r="C476" s="89"/>
    </row>
    <row r="477" ht="15.75" customHeight="1">
      <c r="C477" s="89"/>
    </row>
    <row r="478" ht="15.75" customHeight="1">
      <c r="C478" s="89"/>
    </row>
    <row r="479" ht="15.75" customHeight="1">
      <c r="C479" s="89"/>
    </row>
    <row r="480" ht="15.75" customHeight="1">
      <c r="C480" s="89"/>
    </row>
    <row r="481" ht="15.75" customHeight="1">
      <c r="C481" s="89"/>
    </row>
    <row r="482" ht="15.75" customHeight="1">
      <c r="C482" s="89"/>
    </row>
    <row r="483" ht="15.75" customHeight="1">
      <c r="C483" s="89"/>
    </row>
    <row r="484" ht="15.75" customHeight="1">
      <c r="C484" s="89"/>
    </row>
    <row r="485" ht="15.75" customHeight="1">
      <c r="C485" s="89"/>
    </row>
    <row r="486" ht="15.75" customHeight="1">
      <c r="C486" s="89"/>
    </row>
    <row r="487" ht="15.75" customHeight="1">
      <c r="C487" s="89"/>
    </row>
    <row r="488" ht="15.75" customHeight="1">
      <c r="C488" s="89"/>
    </row>
    <row r="489" ht="15.75" customHeight="1">
      <c r="C489" s="89"/>
    </row>
    <row r="490" ht="15.75" customHeight="1">
      <c r="C490" s="89"/>
    </row>
    <row r="491" ht="15.75" customHeight="1">
      <c r="C491" s="89"/>
    </row>
    <row r="492" ht="15.75" customHeight="1">
      <c r="C492" s="89"/>
    </row>
    <row r="493" ht="15.75" customHeight="1">
      <c r="C493" s="89"/>
    </row>
    <row r="494" ht="15.75" customHeight="1">
      <c r="C494" s="89"/>
    </row>
    <row r="495" ht="15.75" customHeight="1">
      <c r="C495" s="89"/>
    </row>
    <row r="496" ht="15.75" customHeight="1">
      <c r="C496" s="89"/>
    </row>
    <row r="497" ht="15.75" customHeight="1">
      <c r="C497" s="89"/>
    </row>
    <row r="498" ht="15.75" customHeight="1">
      <c r="C498" s="89"/>
    </row>
    <row r="499" ht="15.75" customHeight="1">
      <c r="C499" s="89"/>
    </row>
    <row r="500" ht="15.75" customHeight="1">
      <c r="C500" s="89"/>
    </row>
    <row r="501" ht="15.75" customHeight="1">
      <c r="C501" s="89"/>
    </row>
    <row r="502" ht="15.75" customHeight="1">
      <c r="C502" s="89"/>
    </row>
    <row r="503" ht="15.75" customHeight="1">
      <c r="C503" s="89"/>
    </row>
    <row r="504" ht="15.75" customHeight="1">
      <c r="C504" s="89"/>
    </row>
    <row r="505" ht="15.75" customHeight="1">
      <c r="C505" s="89"/>
    </row>
    <row r="506" ht="15.75" customHeight="1">
      <c r="C506" s="89"/>
    </row>
    <row r="507" ht="15.75" customHeight="1">
      <c r="C507" s="89"/>
    </row>
    <row r="508" ht="15.75" customHeight="1">
      <c r="C508" s="89"/>
    </row>
    <row r="509" ht="15.75" customHeight="1">
      <c r="C509" s="89"/>
    </row>
    <row r="510" ht="15.75" customHeight="1">
      <c r="C510" s="89"/>
    </row>
    <row r="511" ht="15.75" customHeight="1">
      <c r="C511" s="89"/>
    </row>
    <row r="512" ht="15.75" customHeight="1">
      <c r="C512" s="89"/>
    </row>
    <row r="513" ht="15.75" customHeight="1">
      <c r="C513" s="89"/>
    </row>
    <row r="514" ht="15.75" customHeight="1">
      <c r="C514" s="89"/>
    </row>
    <row r="515" ht="15.75" customHeight="1">
      <c r="C515" s="89"/>
    </row>
    <row r="516" ht="15.75" customHeight="1">
      <c r="C516" s="89"/>
    </row>
    <row r="517" ht="15.75" customHeight="1">
      <c r="C517" s="89"/>
    </row>
    <row r="518" ht="15.75" customHeight="1">
      <c r="C518" s="89"/>
    </row>
    <row r="519" ht="15.75" customHeight="1">
      <c r="C519" s="89"/>
    </row>
    <row r="520" ht="15.75" customHeight="1">
      <c r="C520" s="89"/>
    </row>
    <row r="521" ht="15.75" customHeight="1">
      <c r="C521" s="89"/>
    </row>
    <row r="522" ht="15.75" customHeight="1">
      <c r="C522" s="89"/>
    </row>
    <row r="523" ht="15.75" customHeight="1">
      <c r="C523" s="89"/>
    </row>
    <row r="524" ht="15.75" customHeight="1">
      <c r="C524" s="89"/>
    </row>
    <row r="525" ht="15.75" customHeight="1">
      <c r="C525" s="89"/>
    </row>
    <row r="526" ht="15.75" customHeight="1">
      <c r="C526" s="89"/>
    </row>
    <row r="527" ht="15.75" customHeight="1">
      <c r="C527" s="89"/>
    </row>
    <row r="528" ht="15.75" customHeight="1">
      <c r="C528" s="89"/>
    </row>
    <row r="529" ht="15.75" customHeight="1">
      <c r="C529" s="89"/>
    </row>
    <row r="530" ht="15.75" customHeight="1">
      <c r="C530" s="89"/>
    </row>
    <row r="531" ht="15.75" customHeight="1">
      <c r="C531" s="89"/>
    </row>
    <row r="532" ht="15.75" customHeight="1">
      <c r="C532" s="89"/>
    </row>
    <row r="533" ht="15.75" customHeight="1">
      <c r="C533" s="89"/>
    </row>
    <row r="534" ht="15.75" customHeight="1">
      <c r="C534" s="89"/>
    </row>
    <row r="535" ht="15.75" customHeight="1">
      <c r="C535" s="89"/>
    </row>
    <row r="536" ht="15.75" customHeight="1">
      <c r="C536" s="89"/>
    </row>
    <row r="537" ht="15.75" customHeight="1">
      <c r="C537" s="89"/>
    </row>
    <row r="538" ht="15.75" customHeight="1">
      <c r="C538" s="89"/>
    </row>
    <row r="539" ht="15.75" customHeight="1">
      <c r="C539" s="89"/>
    </row>
    <row r="540" ht="15.75" customHeight="1">
      <c r="C540" s="89"/>
    </row>
    <row r="541" ht="15.75" customHeight="1">
      <c r="C541" s="89"/>
    </row>
    <row r="542" ht="15.75" customHeight="1">
      <c r="C542" s="89"/>
    </row>
    <row r="543" ht="15.75" customHeight="1">
      <c r="C543" s="89"/>
    </row>
    <row r="544" ht="15.75" customHeight="1">
      <c r="C544" s="89"/>
    </row>
    <row r="545" ht="15.75" customHeight="1">
      <c r="C545" s="89"/>
    </row>
    <row r="546" ht="15.75" customHeight="1">
      <c r="C546" s="89"/>
    </row>
    <row r="547" ht="15.75" customHeight="1">
      <c r="C547" s="89"/>
    </row>
    <row r="548" ht="15.75" customHeight="1">
      <c r="C548" s="89"/>
    </row>
    <row r="549" ht="15.75" customHeight="1">
      <c r="C549" s="89"/>
    </row>
    <row r="550" ht="15.75" customHeight="1">
      <c r="C550" s="89"/>
    </row>
    <row r="551" ht="15.75" customHeight="1">
      <c r="C551" s="89"/>
    </row>
    <row r="552" ht="15.75" customHeight="1">
      <c r="C552" s="89"/>
    </row>
    <row r="553" ht="15.75" customHeight="1">
      <c r="C553" s="89"/>
    </row>
    <row r="554" ht="15.75" customHeight="1">
      <c r="C554" s="89"/>
    </row>
    <row r="555" ht="15.75" customHeight="1">
      <c r="C555" s="89"/>
    </row>
    <row r="556" ht="15.75" customHeight="1">
      <c r="C556" s="89"/>
    </row>
    <row r="557" ht="15.75" customHeight="1">
      <c r="C557" s="89"/>
    </row>
    <row r="558" ht="15.75" customHeight="1">
      <c r="C558" s="89"/>
    </row>
    <row r="559" ht="15.75" customHeight="1">
      <c r="C559" s="89"/>
    </row>
    <row r="560" ht="15.75" customHeight="1">
      <c r="C560" s="89"/>
    </row>
    <row r="561" ht="15.75" customHeight="1">
      <c r="C561" s="89"/>
    </row>
    <row r="562" ht="15.75" customHeight="1">
      <c r="C562" s="89"/>
    </row>
    <row r="563" ht="15.75" customHeight="1">
      <c r="C563" s="89"/>
    </row>
    <row r="564" ht="15.75" customHeight="1">
      <c r="C564" s="89"/>
    </row>
    <row r="565" ht="15.75" customHeight="1">
      <c r="C565" s="89"/>
    </row>
    <row r="566" ht="15.75" customHeight="1">
      <c r="C566" s="89"/>
    </row>
    <row r="567" ht="15.75" customHeight="1">
      <c r="C567" s="89"/>
    </row>
    <row r="568" ht="15.75" customHeight="1">
      <c r="C568" s="89"/>
    </row>
    <row r="569" ht="15.75" customHeight="1">
      <c r="C569" s="89"/>
    </row>
    <row r="570" ht="15.75" customHeight="1">
      <c r="C570" s="89"/>
    </row>
    <row r="571" ht="15.75" customHeight="1">
      <c r="C571" s="89"/>
    </row>
    <row r="572" ht="15.75" customHeight="1">
      <c r="C572" s="89"/>
    </row>
    <row r="573" ht="15.75" customHeight="1">
      <c r="C573" s="89"/>
    </row>
    <row r="574" ht="15.75" customHeight="1">
      <c r="C574" s="89"/>
    </row>
    <row r="575" ht="15.75" customHeight="1">
      <c r="C575" s="89"/>
    </row>
    <row r="576" ht="15.75" customHeight="1">
      <c r="C576" s="89"/>
    </row>
    <row r="577" ht="15.75" customHeight="1">
      <c r="C577" s="89"/>
    </row>
    <row r="578" ht="15.75" customHeight="1">
      <c r="C578" s="89"/>
    </row>
    <row r="579" ht="15.75" customHeight="1">
      <c r="C579" s="89"/>
    </row>
    <row r="580" ht="15.75" customHeight="1">
      <c r="C580" s="89"/>
    </row>
    <row r="581" ht="15.75" customHeight="1">
      <c r="C581" s="89"/>
    </row>
    <row r="582" ht="15.75" customHeight="1">
      <c r="C582" s="89"/>
    </row>
    <row r="583" ht="15.75" customHeight="1">
      <c r="C583" s="89"/>
    </row>
    <row r="584" ht="15.75" customHeight="1">
      <c r="C584" s="89"/>
    </row>
    <row r="585" ht="15.75" customHeight="1">
      <c r="C585" s="89"/>
    </row>
    <row r="586" ht="15.75" customHeight="1">
      <c r="C586" s="89"/>
    </row>
    <row r="587" ht="15.75" customHeight="1">
      <c r="C587" s="89"/>
    </row>
    <row r="588" ht="15.75" customHeight="1">
      <c r="C588" s="89"/>
    </row>
    <row r="589" ht="15.75" customHeight="1">
      <c r="C589" s="89"/>
    </row>
    <row r="590" ht="15.75" customHeight="1">
      <c r="C590" s="89"/>
    </row>
    <row r="591" ht="15.75" customHeight="1">
      <c r="C591" s="89"/>
    </row>
    <row r="592" ht="15.75" customHeight="1">
      <c r="C592" s="89"/>
    </row>
    <row r="593" ht="15.75" customHeight="1">
      <c r="C593" s="89"/>
    </row>
    <row r="594" ht="15.75" customHeight="1">
      <c r="C594" s="89"/>
    </row>
    <row r="595" ht="15.75" customHeight="1">
      <c r="C595" s="89"/>
    </row>
    <row r="596" ht="15.75" customHeight="1">
      <c r="C596" s="89"/>
    </row>
    <row r="597" ht="15.75" customHeight="1">
      <c r="C597" s="89"/>
    </row>
    <row r="598" ht="15.75" customHeight="1">
      <c r="C598" s="89"/>
    </row>
    <row r="599" ht="15.75" customHeight="1">
      <c r="C599" s="89"/>
    </row>
    <row r="600" ht="15.75" customHeight="1">
      <c r="C600" s="89"/>
    </row>
    <row r="601" ht="15.75" customHeight="1">
      <c r="C601" s="89"/>
    </row>
    <row r="602" ht="15.75" customHeight="1">
      <c r="C602" s="89"/>
    </row>
    <row r="603" ht="15.75" customHeight="1">
      <c r="C603" s="89"/>
    </row>
    <row r="604" ht="15.75" customHeight="1">
      <c r="C604" s="89"/>
    </row>
    <row r="605" ht="15.75" customHeight="1">
      <c r="C605" s="89"/>
    </row>
    <row r="606" ht="15.75" customHeight="1">
      <c r="C606" s="89"/>
    </row>
    <row r="607" ht="15.75" customHeight="1">
      <c r="C607" s="89"/>
    </row>
    <row r="608" ht="15.75" customHeight="1">
      <c r="C608" s="89"/>
    </row>
    <row r="609" ht="15.75" customHeight="1">
      <c r="C609" s="89"/>
    </row>
    <row r="610" ht="15.75" customHeight="1">
      <c r="C610" s="89"/>
    </row>
    <row r="611" ht="15.75" customHeight="1">
      <c r="C611" s="89"/>
    </row>
    <row r="612" ht="15.75" customHeight="1">
      <c r="C612" s="89"/>
    </row>
    <row r="613" ht="15.75" customHeight="1">
      <c r="C613" s="89"/>
    </row>
    <row r="614" ht="15.75" customHeight="1">
      <c r="C614" s="89"/>
    </row>
    <row r="615" ht="15.75" customHeight="1">
      <c r="C615" s="89"/>
    </row>
    <row r="616" ht="15.75" customHeight="1">
      <c r="C616" s="89"/>
    </row>
    <row r="617" ht="15.75" customHeight="1">
      <c r="C617" s="89"/>
    </row>
    <row r="618" ht="15.75" customHeight="1">
      <c r="C618" s="89"/>
    </row>
    <row r="619" ht="15.75" customHeight="1">
      <c r="C619" s="89"/>
    </row>
    <row r="620" ht="15.75" customHeight="1">
      <c r="C620" s="89"/>
    </row>
    <row r="621" ht="15.75" customHeight="1">
      <c r="C621" s="89"/>
    </row>
    <row r="622" ht="15.75" customHeight="1">
      <c r="C622" s="89"/>
    </row>
    <row r="623" ht="15.75" customHeight="1">
      <c r="C623" s="89"/>
    </row>
    <row r="624" ht="15.75" customHeight="1">
      <c r="C624" s="89"/>
    </row>
    <row r="625" ht="15.75" customHeight="1">
      <c r="C625" s="89"/>
    </row>
    <row r="626" ht="15.75" customHeight="1">
      <c r="C626" s="89"/>
    </row>
    <row r="627" ht="15.75" customHeight="1">
      <c r="C627" s="89"/>
    </row>
    <row r="628" ht="15.75" customHeight="1">
      <c r="C628" s="89"/>
    </row>
    <row r="629" ht="15.75" customHeight="1">
      <c r="C629" s="89"/>
    </row>
    <row r="630" ht="15.75" customHeight="1">
      <c r="C630" s="89"/>
    </row>
    <row r="631" ht="15.75" customHeight="1">
      <c r="C631" s="89"/>
    </row>
    <row r="632" ht="15.75" customHeight="1">
      <c r="C632" s="89"/>
    </row>
    <row r="633" ht="15.75" customHeight="1">
      <c r="C633" s="89"/>
    </row>
    <row r="634" ht="15.75" customHeight="1">
      <c r="C634" s="89"/>
    </row>
    <row r="635" ht="15.75" customHeight="1">
      <c r="C635" s="89"/>
    </row>
    <row r="636" ht="15.75" customHeight="1">
      <c r="C636" s="89"/>
    </row>
    <row r="637" ht="15.75" customHeight="1">
      <c r="C637" s="89"/>
    </row>
    <row r="638" ht="15.75" customHeight="1">
      <c r="C638" s="89"/>
    </row>
    <row r="639" ht="15.75" customHeight="1">
      <c r="C639" s="89"/>
    </row>
    <row r="640" ht="15.75" customHeight="1">
      <c r="C640" s="89"/>
    </row>
    <row r="641" ht="15.75" customHeight="1">
      <c r="C641" s="89"/>
    </row>
    <row r="642" ht="15.75" customHeight="1">
      <c r="C642" s="89"/>
    </row>
    <row r="643" ht="15.75" customHeight="1">
      <c r="C643" s="89"/>
    </row>
    <row r="644" ht="15.75" customHeight="1">
      <c r="C644" s="89"/>
    </row>
    <row r="645" ht="15.75" customHeight="1">
      <c r="C645" s="89"/>
    </row>
    <row r="646" ht="15.75" customHeight="1">
      <c r="C646" s="89"/>
    </row>
    <row r="647" ht="15.75" customHeight="1">
      <c r="C647" s="89"/>
    </row>
    <row r="648" ht="15.75" customHeight="1">
      <c r="C648" s="89"/>
    </row>
    <row r="649" ht="15.75" customHeight="1">
      <c r="C649" s="89"/>
    </row>
    <row r="650" ht="15.75" customHeight="1">
      <c r="C650" s="89"/>
    </row>
    <row r="651" ht="15.75" customHeight="1">
      <c r="C651" s="89"/>
    </row>
    <row r="652" ht="15.75" customHeight="1">
      <c r="C652" s="89"/>
    </row>
    <row r="653" ht="15.75" customHeight="1">
      <c r="C653" s="89"/>
    </row>
    <row r="654" ht="15.75" customHeight="1">
      <c r="C654" s="89"/>
    </row>
    <row r="655" ht="15.75" customHeight="1">
      <c r="C655" s="89"/>
    </row>
    <row r="656" ht="15.75" customHeight="1">
      <c r="C656" s="89"/>
    </row>
    <row r="657" ht="15.75" customHeight="1">
      <c r="C657" s="89"/>
    </row>
    <row r="658" ht="15.75" customHeight="1">
      <c r="C658" s="89"/>
    </row>
    <row r="659" ht="15.75" customHeight="1">
      <c r="C659" s="89"/>
    </row>
    <row r="660" ht="15.75" customHeight="1">
      <c r="C660" s="89"/>
    </row>
    <row r="661" ht="15.75" customHeight="1">
      <c r="C661" s="89"/>
    </row>
    <row r="662" ht="15.75" customHeight="1">
      <c r="C662" s="89"/>
    </row>
    <row r="663" ht="15.75" customHeight="1">
      <c r="C663" s="89"/>
    </row>
    <row r="664" ht="15.75" customHeight="1">
      <c r="C664" s="89"/>
    </row>
    <row r="665" ht="15.75" customHeight="1">
      <c r="C665" s="89"/>
    </row>
    <row r="666" ht="15.75" customHeight="1">
      <c r="C666" s="89"/>
    </row>
    <row r="667" ht="15.75" customHeight="1">
      <c r="C667" s="89"/>
    </row>
    <row r="668" ht="15.75" customHeight="1">
      <c r="C668" s="89"/>
    </row>
    <row r="669" ht="15.75" customHeight="1">
      <c r="C669" s="89"/>
    </row>
    <row r="670" ht="15.75" customHeight="1">
      <c r="C670" s="89"/>
    </row>
    <row r="671" ht="15.75" customHeight="1">
      <c r="C671" s="89"/>
    </row>
    <row r="672" ht="15.75" customHeight="1">
      <c r="C672" s="89"/>
    </row>
    <row r="673" ht="15.75" customHeight="1">
      <c r="C673" s="89"/>
    </row>
    <row r="674" ht="15.75" customHeight="1">
      <c r="C674" s="89"/>
    </row>
    <row r="675" ht="15.75" customHeight="1">
      <c r="C675" s="89"/>
    </row>
    <row r="676" ht="15.75" customHeight="1">
      <c r="C676" s="89"/>
    </row>
    <row r="677" ht="15.75" customHeight="1">
      <c r="C677" s="89"/>
    </row>
    <row r="678" ht="15.75" customHeight="1">
      <c r="C678" s="89"/>
    </row>
    <row r="679" ht="15.75" customHeight="1">
      <c r="C679" s="89"/>
    </row>
    <row r="680" ht="15.75" customHeight="1">
      <c r="C680" s="89"/>
    </row>
    <row r="681" ht="15.75" customHeight="1">
      <c r="C681" s="89"/>
    </row>
    <row r="682" ht="15.75" customHeight="1">
      <c r="C682" s="89"/>
    </row>
    <row r="683" ht="15.75" customHeight="1">
      <c r="C683" s="89"/>
    </row>
    <row r="684" ht="15.75" customHeight="1">
      <c r="C684" s="89"/>
    </row>
    <row r="685" ht="15.75" customHeight="1">
      <c r="C685" s="89"/>
    </row>
    <row r="686" ht="15.75" customHeight="1">
      <c r="C686" s="89"/>
    </row>
    <row r="687" ht="15.75" customHeight="1">
      <c r="C687" s="89"/>
    </row>
    <row r="688" ht="15.75" customHeight="1">
      <c r="C688" s="89"/>
    </row>
    <row r="689" ht="15.75" customHeight="1">
      <c r="C689" s="89"/>
    </row>
    <row r="690" ht="15.75" customHeight="1">
      <c r="C690" s="89"/>
    </row>
    <row r="691" ht="15.75" customHeight="1">
      <c r="C691" s="89"/>
    </row>
    <row r="692" ht="15.75" customHeight="1">
      <c r="C692" s="89"/>
    </row>
    <row r="693" ht="15.75" customHeight="1">
      <c r="C693" s="89"/>
    </row>
    <row r="694" ht="15.75" customHeight="1">
      <c r="C694" s="89"/>
    </row>
    <row r="695" ht="15.75" customHeight="1">
      <c r="C695" s="89"/>
    </row>
    <row r="696" ht="15.75" customHeight="1">
      <c r="C696" s="89"/>
    </row>
    <row r="697" ht="15.75" customHeight="1">
      <c r="C697" s="89"/>
    </row>
    <row r="698" ht="15.75" customHeight="1">
      <c r="C698" s="89"/>
    </row>
    <row r="699" ht="15.75" customHeight="1">
      <c r="C699" s="89"/>
    </row>
    <row r="700" ht="15.75" customHeight="1">
      <c r="C700" s="89"/>
    </row>
    <row r="701" ht="15.75" customHeight="1">
      <c r="C701" s="89"/>
    </row>
    <row r="702" ht="15.75" customHeight="1">
      <c r="C702" s="89"/>
    </row>
    <row r="703" ht="15.75" customHeight="1">
      <c r="C703" s="89"/>
    </row>
    <row r="704" ht="15.75" customHeight="1">
      <c r="C704" s="89"/>
    </row>
    <row r="705" ht="15.75" customHeight="1">
      <c r="C705" s="89"/>
    </row>
    <row r="706" ht="15.75" customHeight="1">
      <c r="C706" s="89"/>
    </row>
    <row r="707" ht="15.75" customHeight="1">
      <c r="C707" s="89"/>
    </row>
    <row r="708" ht="15.75" customHeight="1">
      <c r="C708" s="89"/>
    </row>
    <row r="709" ht="15.75" customHeight="1">
      <c r="C709" s="89"/>
    </row>
    <row r="710" ht="15.75" customHeight="1">
      <c r="C710" s="89"/>
    </row>
    <row r="711" ht="15.75" customHeight="1">
      <c r="C711" s="89"/>
    </row>
    <row r="712" ht="15.75" customHeight="1">
      <c r="C712" s="89"/>
    </row>
    <row r="713" ht="15.75" customHeight="1">
      <c r="C713" s="89"/>
    </row>
    <row r="714" ht="15.75" customHeight="1">
      <c r="C714" s="89"/>
    </row>
    <row r="715" ht="15.75" customHeight="1">
      <c r="C715" s="89"/>
    </row>
    <row r="716" ht="15.75" customHeight="1">
      <c r="C716" s="89"/>
    </row>
    <row r="717" ht="15.75" customHeight="1">
      <c r="C717" s="89"/>
    </row>
    <row r="718" ht="15.75" customHeight="1">
      <c r="C718" s="89"/>
    </row>
    <row r="719" ht="15.75" customHeight="1">
      <c r="C719" s="89"/>
    </row>
    <row r="720" ht="15.75" customHeight="1">
      <c r="C720" s="89"/>
    </row>
    <row r="721" ht="15.75" customHeight="1">
      <c r="C721" s="89"/>
    </row>
    <row r="722" ht="15.75" customHeight="1">
      <c r="C722" s="89"/>
    </row>
    <row r="723" ht="15.75" customHeight="1">
      <c r="C723" s="89"/>
    </row>
    <row r="724" ht="15.75" customHeight="1">
      <c r="C724" s="89"/>
    </row>
    <row r="725" ht="15.75" customHeight="1">
      <c r="C725" s="89"/>
    </row>
    <row r="726" ht="15.75" customHeight="1">
      <c r="C726" s="89"/>
    </row>
    <row r="727" ht="15.75" customHeight="1">
      <c r="C727" s="89"/>
    </row>
    <row r="728" ht="15.75" customHeight="1">
      <c r="C728" s="89"/>
    </row>
    <row r="729" ht="15.75" customHeight="1">
      <c r="C729" s="89"/>
    </row>
    <row r="730" ht="15.75" customHeight="1">
      <c r="C730" s="89"/>
    </row>
    <row r="731" ht="15.75" customHeight="1">
      <c r="C731" s="89"/>
    </row>
    <row r="732" ht="15.75" customHeight="1">
      <c r="C732" s="89"/>
    </row>
    <row r="733" ht="15.75" customHeight="1">
      <c r="C733" s="89"/>
    </row>
    <row r="734" ht="15.75" customHeight="1">
      <c r="C734" s="89"/>
    </row>
    <row r="735" ht="15.75" customHeight="1">
      <c r="C735" s="89"/>
    </row>
    <row r="736" ht="15.75" customHeight="1">
      <c r="C736" s="89"/>
    </row>
    <row r="737" ht="15.75" customHeight="1">
      <c r="C737" s="89"/>
    </row>
    <row r="738" ht="15.75" customHeight="1">
      <c r="C738" s="89"/>
    </row>
    <row r="739" ht="15.75" customHeight="1">
      <c r="C739" s="89"/>
    </row>
    <row r="740" ht="15.75" customHeight="1">
      <c r="C740" s="89"/>
    </row>
    <row r="741" ht="15.75" customHeight="1">
      <c r="C741" s="89"/>
    </row>
    <row r="742" ht="15.75" customHeight="1">
      <c r="C742" s="89"/>
    </row>
    <row r="743" ht="15.75" customHeight="1">
      <c r="C743" s="89"/>
    </row>
    <row r="744" ht="15.75" customHeight="1">
      <c r="C744" s="89"/>
    </row>
    <row r="745" ht="15.75" customHeight="1">
      <c r="C745" s="89"/>
    </row>
    <row r="746" ht="15.75" customHeight="1">
      <c r="C746" s="89"/>
    </row>
    <row r="747" ht="15.75" customHeight="1">
      <c r="C747" s="89"/>
    </row>
    <row r="748" ht="15.75" customHeight="1">
      <c r="C748" s="89"/>
    </row>
    <row r="749" ht="15.75" customHeight="1">
      <c r="C749" s="89"/>
    </row>
    <row r="750" ht="15.75" customHeight="1">
      <c r="C750" s="89"/>
    </row>
    <row r="751" ht="15.75" customHeight="1">
      <c r="C751" s="89"/>
    </row>
    <row r="752" ht="15.75" customHeight="1">
      <c r="C752" s="89"/>
    </row>
    <row r="753" ht="15.75" customHeight="1">
      <c r="C753" s="89"/>
    </row>
    <row r="754" ht="15.75" customHeight="1">
      <c r="C754" s="89"/>
    </row>
    <row r="755" ht="15.75" customHeight="1">
      <c r="C755" s="89"/>
    </row>
    <row r="756" ht="15.75" customHeight="1">
      <c r="C756" s="89"/>
    </row>
    <row r="757" ht="15.75" customHeight="1">
      <c r="C757" s="89"/>
    </row>
    <row r="758" ht="15.75" customHeight="1">
      <c r="C758" s="89"/>
    </row>
    <row r="759" ht="15.75" customHeight="1">
      <c r="C759" s="89"/>
    </row>
    <row r="760" ht="15.75" customHeight="1">
      <c r="C760" s="89"/>
    </row>
    <row r="761" ht="15.75" customHeight="1">
      <c r="C761" s="89"/>
    </row>
    <row r="762" ht="15.75" customHeight="1">
      <c r="C762" s="89"/>
    </row>
    <row r="763" ht="15.75" customHeight="1">
      <c r="C763" s="89"/>
    </row>
    <row r="764" ht="15.75" customHeight="1">
      <c r="C764" s="89"/>
    </row>
    <row r="765" ht="15.75" customHeight="1">
      <c r="C765" s="89"/>
    </row>
    <row r="766" ht="15.75" customHeight="1">
      <c r="C766" s="89"/>
    </row>
    <row r="767" ht="15.75" customHeight="1">
      <c r="C767" s="89"/>
    </row>
    <row r="768" ht="15.75" customHeight="1">
      <c r="C768" s="89"/>
    </row>
    <row r="769" ht="15.75" customHeight="1">
      <c r="C769" s="89"/>
    </row>
    <row r="770" ht="15.75" customHeight="1">
      <c r="C770" s="89"/>
    </row>
    <row r="771" ht="15.75" customHeight="1">
      <c r="C771" s="89"/>
    </row>
    <row r="772" ht="15.75" customHeight="1">
      <c r="C772" s="89"/>
    </row>
    <row r="773" ht="15.75" customHeight="1">
      <c r="C773" s="89"/>
    </row>
    <row r="774" ht="15.75" customHeight="1">
      <c r="C774" s="89"/>
    </row>
    <row r="775" ht="15.75" customHeight="1">
      <c r="C775" s="89"/>
    </row>
    <row r="776" ht="15.75" customHeight="1">
      <c r="C776" s="89"/>
    </row>
    <row r="777" ht="15.75" customHeight="1">
      <c r="C777" s="89"/>
    </row>
    <row r="778" ht="15.75" customHeight="1">
      <c r="C778" s="89"/>
    </row>
    <row r="779" ht="15.75" customHeight="1">
      <c r="C779" s="89"/>
    </row>
    <row r="780" ht="15.75" customHeight="1">
      <c r="C780" s="89"/>
    </row>
    <row r="781" ht="15.75" customHeight="1">
      <c r="C781" s="89"/>
    </row>
    <row r="782" ht="15.75" customHeight="1">
      <c r="C782" s="89"/>
    </row>
    <row r="783" ht="15.75" customHeight="1">
      <c r="C783" s="89"/>
    </row>
    <row r="784" ht="15.75" customHeight="1">
      <c r="C784" s="89"/>
    </row>
    <row r="785" ht="15.75" customHeight="1">
      <c r="C785" s="89"/>
    </row>
    <row r="786" ht="15.75" customHeight="1">
      <c r="C786" s="89"/>
    </row>
    <row r="787" ht="15.75" customHeight="1">
      <c r="C787" s="89"/>
    </row>
    <row r="788" ht="15.75" customHeight="1">
      <c r="C788" s="89"/>
    </row>
    <row r="789" ht="15.75" customHeight="1">
      <c r="C789" s="89"/>
    </row>
    <row r="790" ht="15.75" customHeight="1">
      <c r="C790" s="89"/>
    </row>
    <row r="791" ht="15.75" customHeight="1">
      <c r="C791" s="89"/>
    </row>
    <row r="792" ht="15.75" customHeight="1">
      <c r="C792" s="89"/>
    </row>
    <row r="793" ht="15.75" customHeight="1">
      <c r="C793" s="89"/>
    </row>
    <row r="794" ht="15.75" customHeight="1">
      <c r="C794" s="89"/>
    </row>
    <row r="795" ht="15.75" customHeight="1">
      <c r="C795" s="89"/>
    </row>
    <row r="796" ht="15.75" customHeight="1">
      <c r="C796" s="89"/>
    </row>
    <row r="797" ht="15.75" customHeight="1">
      <c r="C797" s="89"/>
    </row>
    <row r="798" ht="15.75" customHeight="1">
      <c r="C798" s="89"/>
    </row>
    <row r="799" ht="15.75" customHeight="1">
      <c r="C799" s="89"/>
    </row>
    <row r="800" ht="15.75" customHeight="1">
      <c r="C800" s="89"/>
    </row>
    <row r="801" ht="15.75" customHeight="1">
      <c r="C801" s="89"/>
    </row>
    <row r="802" ht="15.75" customHeight="1">
      <c r="C802" s="89"/>
    </row>
    <row r="803" ht="15.75" customHeight="1">
      <c r="C803" s="89"/>
    </row>
    <row r="804" ht="15.75" customHeight="1">
      <c r="C804" s="89"/>
    </row>
    <row r="805" ht="15.75" customHeight="1">
      <c r="C805" s="89"/>
    </row>
    <row r="806" ht="15.75" customHeight="1">
      <c r="C806" s="89"/>
    </row>
    <row r="807" ht="15.75" customHeight="1">
      <c r="C807" s="89"/>
    </row>
    <row r="808" ht="15.75" customHeight="1">
      <c r="C808" s="89"/>
    </row>
    <row r="809" ht="15.75" customHeight="1">
      <c r="C809" s="89"/>
    </row>
    <row r="810" ht="15.75" customHeight="1">
      <c r="C810" s="89"/>
    </row>
    <row r="811" ht="15.75" customHeight="1">
      <c r="C811" s="89"/>
    </row>
    <row r="812" ht="15.75" customHeight="1">
      <c r="C812" s="89"/>
    </row>
    <row r="813" ht="15.75" customHeight="1">
      <c r="C813" s="89"/>
    </row>
    <row r="814" ht="15.75" customHeight="1">
      <c r="C814" s="89"/>
    </row>
    <row r="815" ht="15.75" customHeight="1">
      <c r="C815" s="89"/>
    </row>
    <row r="816" ht="15.75" customHeight="1">
      <c r="C816" s="89"/>
    </row>
    <row r="817" ht="15.75" customHeight="1">
      <c r="C817" s="89"/>
    </row>
    <row r="818" ht="15.75" customHeight="1">
      <c r="C818" s="89"/>
    </row>
    <row r="819" ht="15.75" customHeight="1">
      <c r="C819" s="89"/>
    </row>
    <row r="820" ht="15.75" customHeight="1">
      <c r="C820" s="89"/>
    </row>
    <row r="821" ht="15.75" customHeight="1">
      <c r="C821" s="89"/>
    </row>
    <row r="822" ht="15.75" customHeight="1">
      <c r="C822" s="89"/>
    </row>
    <row r="823" ht="15.75" customHeight="1">
      <c r="C823" s="89"/>
    </row>
    <row r="824" ht="15.75" customHeight="1">
      <c r="C824" s="89"/>
    </row>
    <row r="825" ht="15.75" customHeight="1">
      <c r="C825" s="89"/>
    </row>
    <row r="826" ht="15.75" customHeight="1">
      <c r="C826" s="89"/>
    </row>
    <row r="827" ht="15.75" customHeight="1">
      <c r="C827" s="89"/>
    </row>
    <row r="828" ht="15.75" customHeight="1">
      <c r="C828" s="89"/>
    </row>
    <row r="829" ht="15.75" customHeight="1">
      <c r="C829" s="89"/>
    </row>
    <row r="830" ht="15.75" customHeight="1">
      <c r="C830" s="89"/>
    </row>
    <row r="831" ht="15.75" customHeight="1">
      <c r="C831" s="89"/>
    </row>
    <row r="832" ht="15.75" customHeight="1">
      <c r="C832" s="89"/>
    </row>
    <row r="833" ht="15.75" customHeight="1">
      <c r="C833" s="89"/>
    </row>
    <row r="834" ht="15.75" customHeight="1">
      <c r="C834" s="89"/>
    </row>
    <row r="835" ht="15.75" customHeight="1">
      <c r="C835" s="89"/>
    </row>
    <row r="836" ht="15.75" customHeight="1">
      <c r="C836" s="89"/>
    </row>
    <row r="837" ht="15.75" customHeight="1">
      <c r="C837" s="89"/>
    </row>
    <row r="838" ht="15.75" customHeight="1">
      <c r="C838" s="89"/>
    </row>
    <row r="839" ht="15.75" customHeight="1">
      <c r="C839" s="89"/>
    </row>
    <row r="840" ht="15.75" customHeight="1">
      <c r="C840" s="89"/>
    </row>
    <row r="841" ht="15.75" customHeight="1">
      <c r="C841" s="89"/>
    </row>
    <row r="842" ht="15.75" customHeight="1">
      <c r="C842" s="89"/>
    </row>
    <row r="843" ht="15.75" customHeight="1">
      <c r="C843" s="89"/>
    </row>
    <row r="844" ht="15.75" customHeight="1">
      <c r="C844" s="89"/>
    </row>
    <row r="845" ht="15.75" customHeight="1">
      <c r="C845" s="89"/>
    </row>
    <row r="846" ht="15.75" customHeight="1">
      <c r="C846" s="89"/>
    </row>
    <row r="847" ht="15.75" customHeight="1">
      <c r="C847" s="89"/>
    </row>
    <row r="848" ht="15.75" customHeight="1">
      <c r="C848" s="89"/>
    </row>
    <row r="849" ht="15.75" customHeight="1">
      <c r="C849" s="89"/>
    </row>
    <row r="850" ht="15.75" customHeight="1">
      <c r="C850" s="89"/>
    </row>
    <row r="851" ht="15.75" customHeight="1">
      <c r="C851" s="89"/>
    </row>
    <row r="852" ht="15.75" customHeight="1">
      <c r="C852" s="89"/>
    </row>
    <row r="853" ht="15.75" customHeight="1">
      <c r="C853" s="89"/>
    </row>
    <row r="854" ht="15.75" customHeight="1">
      <c r="C854" s="89"/>
    </row>
    <row r="855" ht="15.75" customHeight="1">
      <c r="C855" s="89"/>
    </row>
    <row r="856" ht="15.75" customHeight="1">
      <c r="C856" s="89"/>
    </row>
    <row r="857" ht="15.75" customHeight="1">
      <c r="C857" s="89"/>
    </row>
    <row r="858" ht="15.75" customHeight="1">
      <c r="C858" s="89"/>
    </row>
    <row r="859" ht="15.75" customHeight="1">
      <c r="C859" s="89"/>
    </row>
    <row r="860" ht="15.75" customHeight="1">
      <c r="C860" s="89"/>
    </row>
    <row r="861" ht="15.75" customHeight="1">
      <c r="C861" s="89"/>
    </row>
    <row r="862" ht="15.75" customHeight="1">
      <c r="C862" s="89"/>
    </row>
    <row r="863" ht="15.75" customHeight="1">
      <c r="C863" s="89"/>
    </row>
    <row r="864" ht="15.75" customHeight="1">
      <c r="C864" s="89"/>
    </row>
    <row r="865" ht="15.75" customHeight="1">
      <c r="C865" s="89"/>
    </row>
    <row r="866" ht="15.75" customHeight="1">
      <c r="C866" s="89"/>
    </row>
    <row r="867" ht="15.75" customHeight="1">
      <c r="C867" s="89"/>
    </row>
    <row r="868" ht="15.75" customHeight="1">
      <c r="C868" s="89"/>
    </row>
    <row r="869" ht="15.75" customHeight="1">
      <c r="C869" s="89"/>
    </row>
    <row r="870" ht="15.75" customHeight="1">
      <c r="C870" s="89"/>
    </row>
    <row r="871" ht="15.75" customHeight="1">
      <c r="C871" s="89"/>
    </row>
    <row r="872" ht="15.75" customHeight="1">
      <c r="C872" s="89"/>
    </row>
    <row r="873" ht="15.75" customHeight="1">
      <c r="C873" s="89"/>
    </row>
    <row r="874" ht="15.75" customHeight="1">
      <c r="C874" s="89"/>
    </row>
    <row r="875" ht="15.75" customHeight="1">
      <c r="C875" s="89"/>
    </row>
    <row r="876" ht="15.75" customHeight="1">
      <c r="C876" s="89"/>
    </row>
    <row r="877" ht="15.75" customHeight="1">
      <c r="C877" s="89"/>
    </row>
    <row r="878" ht="15.75" customHeight="1">
      <c r="C878" s="89"/>
    </row>
    <row r="879" ht="15.75" customHeight="1">
      <c r="C879" s="89"/>
    </row>
    <row r="880" ht="15.75" customHeight="1">
      <c r="C880" s="89"/>
    </row>
    <row r="881" ht="15.75" customHeight="1">
      <c r="C881" s="89"/>
    </row>
    <row r="882" ht="15.75" customHeight="1">
      <c r="C882" s="89"/>
    </row>
    <row r="883" ht="15.75" customHeight="1">
      <c r="C883" s="89"/>
    </row>
    <row r="884" ht="15.75" customHeight="1">
      <c r="C884" s="89"/>
    </row>
    <row r="885" ht="15.75" customHeight="1">
      <c r="C885" s="89"/>
    </row>
    <row r="886" ht="15.75" customHeight="1">
      <c r="C886" s="89"/>
    </row>
    <row r="887" ht="15.75" customHeight="1">
      <c r="C887" s="89"/>
    </row>
    <row r="888" ht="15.75" customHeight="1">
      <c r="C888" s="89"/>
    </row>
    <row r="889" ht="15.75" customHeight="1">
      <c r="C889" s="89"/>
    </row>
    <row r="890" ht="15.75" customHeight="1">
      <c r="C890" s="89"/>
    </row>
    <row r="891" ht="15.75" customHeight="1">
      <c r="C891" s="89"/>
    </row>
    <row r="892" ht="15.75" customHeight="1">
      <c r="C892" s="89"/>
    </row>
    <row r="893" ht="15.75" customHeight="1">
      <c r="C893" s="89"/>
    </row>
    <row r="894" ht="15.75" customHeight="1">
      <c r="C894" s="89"/>
    </row>
    <row r="895" ht="15.75" customHeight="1">
      <c r="C895" s="89"/>
    </row>
    <row r="896" ht="15.75" customHeight="1">
      <c r="C896" s="89"/>
    </row>
    <row r="897" ht="15.75" customHeight="1">
      <c r="C897" s="89"/>
    </row>
    <row r="898" ht="15.75" customHeight="1">
      <c r="C898" s="89"/>
    </row>
    <row r="899" ht="15.75" customHeight="1">
      <c r="C899" s="89"/>
    </row>
    <row r="900" ht="15.75" customHeight="1">
      <c r="C900" s="89"/>
    </row>
    <row r="901" ht="15.75" customHeight="1">
      <c r="C901" s="89"/>
    </row>
    <row r="902" ht="15.75" customHeight="1">
      <c r="C902" s="89"/>
    </row>
    <row r="903" ht="15.75" customHeight="1">
      <c r="C903" s="89"/>
    </row>
    <row r="904" ht="15.75" customHeight="1">
      <c r="C904" s="89"/>
    </row>
    <row r="905" ht="15.75" customHeight="1">
      <c r="C905" s="89"/>
    </row>
    <row r="906" ht="15.75" customHeight="1">
      <c r="C906" s="89"/>
    </row>
    <row r="907" ht="15.75" customHeight="1">
      <c r="C907" s="89"/>
    </row>
    <row r="908" ht="15.75" customHeight="1">
      <c r="C908" s="89"/>
    </row>
    <row r="909" ht="15.75" customHeight="1">
      <c r="C909" s="89"/>
    </row>
    <row r="910" ht="15.75" customHeight="1">
      <c r="C910" s="89"/>
    </row>
    <row r="911" ht="15.75" customHeight="1">
      <c r="C911" s="89"/>
    </row>
    <row r="912" ht="15.75" customHeight="1">
      <c r="C912" s="89"/>
    </row>
    <row r="913" ht="15.75" customHeight="1">
      <c r="C913" s="89"/>
    </row>
    <row r="914" ht="15.75" customHeight="1">
      <c r="C914" s="89"/>
    </row>
    <row r="915" ht="15.75" customHeight="1">
      <c r="C915" s="89"/>
    </row>
    <row r="916" ht="15.75" customHeight="1">
      <c r="C916" s="89"/>
    </row>
    <row r="917" ht="15.75" customHeight="1">
      <c r="C917" s="89"/>
    </row>
    <row r="918" ht="15.75" customHeight="1">
      <c r="C918" s="89"/>
    </row>
    <row r="919" ht="15.75" customHeight="1">
      <c r="C919" s="89"/>
    </row>
    <row r="920" ht="15.75" customHeight="1">
      <c r="C920" s="89"/>
    </row>
    <row r="921" ht="15.75" customHeight="1">
      <c r="C921" s="89"/>
    </row>
    <row r="922" ht="15.75" customHeight="1">
      <c r="C922" s="89"/>
    </row>
    <row r="923" ht="15.75" customHeight="1">
      <c r="C923" s="89"/>
    </row>
    <row r="924" ht="15.75" customHeight="1">
      <c r="C924" s="89"/>
    </row>
    <row r="925" ht="15.75" customHeight="1">
      <c r="C925" s="89"/>
    </row>
    <row r="926" ht="15.75" customHeight="1">
      <c r="C926" s="89"/>
    </row>
    <row r="927" ht="15.75" customHeight="1">
      <c r="C927" s="89"/>
    </row>
    <row r="928" ht="15.75" customHeight="1">
      <c r="C928" s="89"/>
    </row>
    <row r="929" ht="15.75" customHeight="1">
      <c r="C929" s="89"/>
    </row>
    <row r="930" ht="15.75" customHeight="1">
      <c r="C930" s="89"/>
    </row>
    <row r="931" ht="15.75" customHeight="1">
      <c r="C931" s="89"/>
    </row>
    <row r="932" ht="15.75" customHeight="1">
      <c r="C932" s="89"/>
    </row>
    <row r="933" ht="15.75" customHeight="1">
      <c r="C933" s="89"/>
    </row>
    <row r="934" ht="15.75" customHeight="1">
      <c r="C934" s="89"/>
    </row>
    <row r="935" ht="15.75" customHeight="1">
      <c r="C935" s="89"/>
    </row>
    <row r="936" ht="15.75" customHeight="1">
      <c r="C936" s="89"/>
    </row>
    <row r="937" ht="15.75" customHeight="1">
      <c r="C937" s="89"/>
    </row>
    <row r="938" ht="15.75" customHeight="1">
      <c r="C938" s="89"/>
    </row>
    <row r="939" ht="15.75" customHeight="1">
      <c r="C939" s="89"/>
    </row>
    <row r="940" ht="15.75" customHeight="1">
      <c r="C940" s="89"/>
    </row>
    <row r="941" ht="15.75" customHeight="1">
      <c r="C941" s="89"/>
    </row>
    <row r="942" ht="15.75" customHeight="1">
      <c r="C942" s="89"/>
    </row>
    <row r="943" ht="15.75" customHeight="1">
      <c r="C943" s="89"/>
    </row>
    <row r="944" ht="15.75" customHeight="1">
      <c r="C944" s="89"/>
    </row>
    <row r="945" ht="15.75" customHeight="1">
      <c r="C945" s="89"/>
    </row>
    <row r="946" ht="15.75" customHeight="1">
      <c r="C946" s="89"/>
    </row>
    <row r="947" ht="15.75" customHeight="1">
      <c r="C947" s="89"/>
    </row>
    <row r="948" ht="15.75" customHeight="1">
      <c r="C948" s="89"/>
    </row>
    <row r="949" ht="15.75" customHeight="1">
      <c r="C949" s="89"/>
    </row>
    <row r="950" ht="15.75" customHeight="1">
      <c r="C950" s="89"/>
    </row>
    <row r="951" ht="15.75" customHeight="1">
      <c r="C951" s="89"/>
    </row>
    <row r="952" ht="15.75" customHeight="1">
      <c r="C952" s="89"/>
    </row>
    <row r="953" ht="15.75" customHeight="1">
      <c r="C953" s="89"/>
    </row>
    <row r="954" ht="15.75" customHeight="1">
      <c r="C954" s="89"/>
    </row>
    <row r="955" ht="15.75" customHeight="1">
      <c r="C955" s="89"/>
    </row>
    <row r="956" ht="15.75" customHeight="1">
      <c r="C956" s="89"/>
    </row>
    <row r="957" ht="15.75" customHeight="1">
      <c r="C957" s="89"/>
    </row>
    <row r="958" ht="15.75" customHeight="1">
      <c r="C958" s="89"/>
    </row>
    <row r="959" ht="15.75" customHeight="1">
      <c r="C959" s="89"/>
    </row>
    <row r="960" ht="15.75" customHeight="1">
      <c r="C960" s="89"/>
    </row>
    <row r="961" ht="15.75" customHeight="1">
      <c r="C961" s="89"/>
    </row>
    <row r="962" ht="15.75" customHeight="1">
      <c r="C962" s="89"/>
    </row>
    <row r="963" ht="15.75" customHeight="1">
      <c r="C963" s="89"/>
    </row>
    <row r="964" ht="15.75" customHeight="1">
      <c r="C964" s="89"/>
    </row>
    <row r="965" ht="15.75" customHeight="1">
      <c r="C965" s="89"/>
    </row>
    <row r="966" ht="15.75" customHeight="1">
      <c r="C966" s="89"/>
    </row>
    <row r="967" ht="15.75" customHeight="1">
      <c r="C967" s="89"/>
    </row>
    <row r="968" ht="15.75" customHeight="1">
      <c r="C968" s="89"/>
    </row>
    <row r="969" ht="15.75" customHeight="1">
      <c r="C969" s="89"/>
    </row>
    <row r="970" ht="15.75" customHeight="1">
      <c r="C970" s="89"/>
    </row>
    <row r="971" ht="15.75" customHeight="1">
      <c r="C971" s="89"/>
    </row>
    <row r="972" ht="15.75" customHeight="1">
      <c r="C972" s="89"/>
    </row>
    <row r="973" ht="15.75" customHeight="1">
      <c r="C973" s="89"/>
    </row>
    <row r="974" ht="15.75" customHeight="1">
      <c r="C974" s="89"/>
    </row>
    <row r="975" ht="15.75" customHeight="1">
      <c r="C975" s="89"/>
    </row>
    <row r="976" ht="15.75" customHeight="1">
      <c r="C976" s="89"/>
    </row>
    <row r="977" ht="15.75" customHeight="1">
      <c r="C977" s="89"/>
    </row>
    <row r="978" ht="15.75" customHeight="1">
      <c r="C978" s="89"/>
    </row>
    <row r="979" ht="15.75" customHeight="1">
      <c r="C979" s="89"/>
    </row>
    <row r="980" ht="15.75" customHeight="1">
      <c r="C980" s="89"/>
    </row>
    <row r="981" ht="15.75" customHeight="1">
      <c r="C981" s="89"/>
    </row>
    <row r="982" ht="15.75" customHeight="1">
      <c r="C982" s="89"/>
    </row>
    <row r="983" ht="15.75" customHeight="1">
      <c r="C983" s="89"/>
    </row>
    <row r="984" ht="15.75" customHeight="1">
      <c r="C984" s="89"/>
    </row>
    <row r="985" ht="15.75" customHeight="1">
      <c r="C985" s="89"/>
    </row>
    <row r="986" ht="15.75" customHeight="1">
      <c r="C986" s="89"/>
    </row>
    <row r="987" ht="15.75" customHeight="1">
      <c r="C987" s="89"/>
    </row>
    <row r="988" ht="15.75" customHeight="1">
      <c r="C988" s="89"/>
    </row>
    <row r="989" ht="15.75" customHeight="1">
      <c r="C989" s="89"/>
    </row>
    <row r="990" ht="15.75" customHeight="1">
      <c r="C990" s="89"/>
    </row>
    <row r="991" ht="15.75" customHeight="1">
      <c r="C991" s="89"/>
    </row>
    <row r="992" ht="15.75" customHeight="1">
      <c r="C992" s="89"/>
    </row>
    <row r="993" ht="15.75" customHeight="1">
      <c r="C993" s="89"/>
    </row>
    <row r="994" ht="15.75" customHeight="1">
      <c r="C994" s="89"/>
    </row>
    <row r="995" ht="15.75" customHeight="1">
      <c r="C995" s="89"/>
    </row>
    <row r="996" ht="15.75" customHeight="1">
      <c r="C996" s="89"/>
    </row>
    <row r="997" ht="15.75" customHeight="1">
      <c r="C997" s="89"/>
    </row>
    <row r="998" ht="15.75" customHeight="1">
      <c r="C998" s="89"/>
    </row>
    <row r="999" ht="15.75" customHeight="1">
      <c r="C999" s="89"/>
    </row>
    <row r="1000" ht="15.75" customHeight="1">
      <c r="C1000" s="89"/>
    </row>
  </sheetData>
  <mergeCells count="1">
    <mergeCell ref="E29:E36"/>
  </mergeCells>
  <printOptions/>
  <pageMargins bottom="0.787401575" footer="0.0" header="0.0" left="0.7" right="0.7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4.14"/>
    <col customWidth="1" min="3" max="3" width="38.71"/>
    <col customWidth="1" min="4" max="8" width="10.71"/>
    <col customWidth="1" min="9" max="9" width="29.71"/>
    <col customWidth="1" min="10" max="10" width="10.71"/>
    <col customWidth="1" min="11" max="11" width="13.57"/>
    <col customWidth="1" hidden="1" min="12" max="12" width="38.71"/>
    <col customWidth="1" hidden="1" min="13" max="13" width="32.43"/>
    <col customWidth="1" min="14" max="27" width="10.71"/>
  </cols>
  <sheetData>
    <row r="1">
      <c r="B1" s="31" t="s">
        <v>231</v>
      </c>
      <c r="C1" s="31" t="s">
        <v>222</v>
      </c>
      <c r="D1" s="31" t="s">
        <v>234</v>
      </c>
      <c r="E1" s="31" t="s">
        <v>235</v>
      </c>
      <c r="F1" s="31" t="s">
        <v>236</v>
      </c>
      <c r="G1" s="31" t="s">
        <v>237</v>
      </c>
      <c r="H1" s="31" t="s">
        <v>238</v>
      </c>
      <c r="I1" s="33" t="s">
        <v>239</v>
      </c>
      <c r="J1" s="31" t="s">
        <v>240</v>
      </c>
      <c r="K1" s="31" t="s">
        <v>241</v>
      </c>
      <c r="L1" s="31" t="s">
        <v>242</v>
      </c>
      <c r="M1" s="31" t="s">
        <v>243</v>
      </c>
    </row>
    <row r="2" ht="15.0" customHeight="1">
      <c r="A2" s="90" t="s">
        <v>301</v>
      </c>
      <c r="B2" s="31">
        <v>33.0</v>
      </c>
      <c r="C2" s="31" t="str">
        <f>IF(ISERROR(Draws!L11),"Draw 1 / 1",Draws!L11)</f>
        <v>#17, NOLL / WEIKERT</v>
      </c>
      <c r="D2" s="91">
        <f>IF(ISBLANK(E2),"",IF(E2&gt;E3,1,0) + IF(F2&gt;F3,1,0) + IF(G2&gt;G3,1,0))</f>
        <v>1</v>
      </c>
      <c r="E2" s="92">
        <v>11.0</v>
      </c>
      <c r="F2" s="92">
        <v>17.0</v>
      </c>
      <c r="G2" s="92">
        <v>13.0</v>
      </c>
      <c r="H2" s="93" t="s">
        <v>244</v>
      </c>
      <c r="I2" s="91" t="str">
        <f>Result!B32</f>
        <v>#26, TIWALD / ALTENRIEDERER</v>
      </c>
      <c r="J2" s="94"/>
      <c r="K2" s="94"/>
      <c r="L2" s="31" t="str">
        <f>IF(D2="","Winner #33",IF(D2=2,C2,C3))</f>
        <v>#28, DESSEWFFY / ZABLOUDIL</v>
      </c>
      <c r="M2" s="31" t="str">
        <f>IF(D2="","Loser #33",IF(D2&lt;2,C2,C3))</f>
        <v>#17, NOLL / WEIKERT</v>
      </c>
      <c r="O2" s="33" t="s">
        <v>245</v>
      </c>
    </row>
    <row r="3">
      <c r="C3" s="31" t="str">
        <f>IF(ISERROR(Draws!L20),"Draw 2 / 1",Draws!L20)</f>
        <v>#28, DESSEWFFY / ZABLOUDIL</v>
      </c>
      <c r="D3" s="91">
        <f>IF(ISBLANK(E2),"",IF(E2&lt;E3,1,0) + IF(F2&lt;F3,1,0) + IF(G2&lt;G3,1,0))</f>
        <v>2</v>
      </c>
      <c r="E3" s="92">
        <v>15.0</v>
      </c>
      <c r="F3" s="92">
        <v>15.0</v>
      </c>
      <c r="G3" s="92">
        <v>15.0</v>
      </c>
      <c r="H3" s="93"/>
      <c r="I3" s="91"/>
      <c r="J3" s="94"/>
      <c r="K3" s="94"/>
    </row>
    <row r="4">
      <c r="B4" s="31">
        <v>34.0</v>
      </c>
      <c r="C4" s="31" t="str">
        <f>IF(ISERROR(Draws!L12),"Draw 1 / 2",Draws!L12)</f>
        <v>#20, HOFBAUER / BOHACEK</v>
      </c>
      <c r="D4" s="91">
        <f>IF(ISBLANK(E4),"",IF(E4&gt;E5,1,0) + IF(F4&gt;F5,1,0) + IF(G4&gt;G5,1,0))</f>
        <v>2</v>
      </c>
      <c r="E4" s="92">
        <v>15.0</v>
      </c>
      <c r="F4" s="92">
        <v>15.0</v>
      </c>
      <c r="G4" s="91"/>
      <c r="H4" s="93" t="s">
        <v>246</v>
      </c>
      <c r="I4" s="91" t="str">
        <f>Result!B31</f>
        <v>#27, MALICKI / FLORIÁN</v>
      </c>
      <c r="J4" s="94"/>
      <c r="K4" s="94"/>
      <c r="L4" s="31" t="str">
        <f>IF(D4="","Winner #34",IF(D4=2,C4,C5))</f>
        <v>#20, HOFBAUER / BOHACEK</v>
      </c>
      <c r="M4" s="31" t="str">
        <f>IF(D4="","Loser #34",IF(D4&lt;2,C4,C5))</f>
        <v>#25, EICHINGER / REISS</v>
      </c>
    </row>
    <row r="5">
      <c r="C5" s="31" t="str">
        <f>IF(ISERROR(Draws!L21),"Draw 2 / 2",Draws!L21)</f>
        <v>#25, EICHINGER / REISS</v>
      </c>
      <c r="D5" s="91">
        <f>IF(ISBLANK(E4),"",IF(E4&lt;E5,1,0) + IF(F4&lt;F5,1,0) + IF(G4&lt;G5,1,0))</f>
        <v>0</v>
      </c>
      <c r="E5" s="92">
        <v>10.0</v>
      </c>
      <c r="F5" s="92">
        <v>10.0</v>
      </c>
      <c r="G5" s="91"/>
      <c r="H5" s="93"/>
      <c r="I5" s="91"/>
      <c r="J5" s="94"/>
      <c r="K5" s="94"/>
    </row>
    <row r="6">
      <c r="B6" s="31">
        <v>35.0</v>
      </c>
      <c r="C6" s="31" t="str">
        <f>IF(ISERROR(Draws!L13),"Draw 1 / 3",Draws!L13)</f>
        <v>#5, WESP / PFEIFFER</v>
      </c>
      <c r="D6" s="91">
        <f>IF(ISBLANK(E6),"",IF(E6&gt;E7,1,0) + IF(F6&gt;F7,1,0) + IF(G6&gt;G7,1,0))</f>
        <v>2</v>
      </c>
      <c r="E6" s="92">
        <v>17.0</v>
      </c>
      <c r="F6" s="92">
        <v>20.0</v>
      </c>
      <c r="G6" s="91"/>
      <c r="H6" s="93" t="s">
        <v>247</v>
      </c>
      <c r="I6" s="91" t="str">
        <f>Result!B30</f>
        <v>#21, JOBST / GAPPNIG</v>
      </c>
      <c r="J6" s="94"/>
      <c r="K6" s="94"/>
      <c r="L6" s="31" t="str">
        <f>IF(D6="","Winner #35",IF(D6=2,C6,C7))</f>
        <v>#5, WESP / PFEIFFER</v>
      </c>
      <c r="M6" s="31" t="str">
        <f>IF(D6="","Loser #35",IF(D6&lt;2,C6,C7))</f>
        <v>#16, ZECHA / GRÜNWERTH</v>
      </c>
    </row>
    <row r="7">
      <c r="C7" s="31" t="str">
        <f>IF(ISERROR(Draws!L22),"Draw 2 / 3",Draws!L22)</f>
        <v>#16, ZECHA / GRÜNWERTH</v>
      </c>
      <c r="D7" s="91">
        <f>IF(ISBLANK(E6),"",IF(E6&lt;E7,1,0) + IF(F6&lt;F7,1,0) + IF(G6&lt;G7,1,0))</f>
        <v>0</v>
      </c>
      <c r="E7" s="92">
        <v>15.0</v>
      </c>
      <c r="F7" s="92">
        <v>18.0</v>
      </c>
      <c r="G7" s="91"/>
      <c r="H7" s="95"/>
      <c r="I7" s="91"/>
      <c r="J7" s="94"/>
      <c r="K7" s="94"/>
    </row>
    <row r="8">
      <c r="B8" s="31">
        <v>36.0</v>
      </c>
      <c r="C8" s="31" t="str">
        <f>IF(ISERROR(Draws!L14),"Draw 1 / 4",Draws!L14)</f>
        <v>#7, HOHENAUER / CARMANN</v>
      </c>
      <c r="D8" s="91">
        <f>IF(ISBLANK(E8),"",IF(E8&gt;E9,1,0) + IF(F8&gt;F9,1,0) + IF(G8&gt;G9,1,0))</f>
        <v>2</v>
      </c>
      <c r="E8" s="92">
        <v>15.0</v>
      </c>
      <c r="F8" s="92">
        <v>15.0</v>
      </c>
      <c r="G8" s="91"/>
      <c r="H8" s="93" t="s">
        <v>248</v>
      </c>
      <c r="I8" s="91" t="str">
        <f>Result!B27</f>
        <v>#18, KACZMARCZYK / GRAM</v>
      </c>
      <c r="J8" s="94"/>
      <c r="K8" s="94"/>
      <c r="L8" s="31" t="str">
        <f>IF(D8="","Winner #36",IF(D8=2,C8,C9))</f>
        <v>#7, HOHENAUER / CARMANN</v>
      </c>
      <c r="M8" s="31" t="str">
        <f>IF(D8="","Loser #36",IF(D8&lt;2,C8,C9))</f>
        <v>#23, LANGER / SAFTIUK</v>
      </c>
    </row>
    <row r="9">
      <c r="C9" s="31" t="str">
        <f>IF(ISERROR(Draws!L23),"Draw 2 / 4",Draws!L23)</f>
        <v>#23, LANGER / SAFTIUK</v>
      </c>
      <c r="D9" s="91">
        <f>IF(ISBLANK(E8),"",IF(E8&lt;E9,1,0) + IF(F8&lt;F9,1,0) + IF(G8&lt;G9,1,0))</f>
        <v>0</v>
      </c>
      <c r="E9" s="92">
        <v>11.0</v>
      </c>
      <c r="F9" s="92">
        <v>6.0</v>
      </c>
      <c r="G9" s="91"/>
      <c r="H9" s="95"/>
      <c r="I9" s="91"/>
      <c r="J9" s="94"/>
      <c r="K9" s="94"/>
    </row>
    <row r="10">
      <c r="B10" s="31">
        <v>37.0</v>
      </c>
      <c r="C10" s="31" t="str">
        <f>IF(ISERROR(Draws!L15),"Draw 1 / 5",Draws!L15)</f>
        <v>#11, TKACHENKO / KURZMANN</v>
      </c>
      <c r="D10" s="91">
        <f>IF(ISBLANK(E10),"",IF(E10&gt;E11,1,0) + IF(F10&gt;F11,1,0) + IF(G10&gt;G11,1,0))</f>
        <v>2</v>
      </c>
      <c r="E10" s="92">
        <v>15.0</v>
      </c>
      <c r="F10" s="92">
        <v>13.0</v>
      </c>
      <c r="G10" s="92">
        <v>15.0</v>
      </c>
      <c r="H10" s="93" t="s">
        <v>244</v>
      </c>
      <c r="I10" s="91" t="str">
        <f>M2</f>
        <v>#17, NOLL / WEIKERT</v>
      </c>
      <c r="J10" s="94"/>
      <c r="K10" s="94"/>
      <c r="L10" s="31" t="str">
        <f>IF(D10="","Winner #37",IF(D10=2,C10,C11))</f>
        <v>#11, TKACHENKO / KURZMANN</v>
      </c>
      <c r="M10" s="31" t="str">
        <f>IF(D10="","Loser #37",IF(D10&lt;2,C10,C11))</f>
        <v>#30, WEISKIRCHNER / STEINMETZ</v>
      </c>
    </row>
    <row r="11">
      <c r="C11" s="31" t="str">
        <f>IF(ISERROR(Draws!L24),"Draw 2 / 5",Draws!L24)</f>
        <v>#30, WEISKIRCHNER / STEINMETZ</v>
      </c>
      <c r="D11" s="91">
        <f>IF(ISBLANK(E10),"",IF(E10&lt;E11,1,0) + IF(F10&lt;F11,1,0) + IF(G10&lt;G11,1,0))</f>
        <v>1</v>
      </c>
      <c r="E11" s="92">
        <v>13.0</v>
      </c>
      <c r="F11" s="92">
        <v>15.0</v>
      </c>
      <c r="G11" s="92">
        <v>13.0</v>
      </c>
      <c r="H11" s="93"/>
      <c r="I11" s="91"/>
      <c r="J11" s="94"/>
      <c r="K11" s="94"/>
    </row>
    <row r="12">
      <c r="B12" s="31">
        <v>38.0</v>
      </c>
      <c r="C12" s="31" t="str">
        <f>IF(ISERROR(Draws!L16),"Draw 1 / 6",Draws!L16)</f>
        <v>#9, HARTEL / SANDNER</v>
      </c>
      <c r="D12" s="91">
        <f>IF(ISBLANK(E12),"",IF(E12&gt;E13,1,0) + IF(F12&gt;F13,1,0) + IF(G12&gt;G13,1,0))</f>
        <v>2</v>
      </c>
      <c r="E12" s="92">
        <v>15.0</v>
      </c>
      <c r="F12" s="92">
        <v>15.0</v>
      </c>
      <c r="G12" s="91"/>
      <c r="H12" s="93" t="s">
        <v>246</v>
      </c>
      <c r="I12" s="91" t="str">
        <f>M4</f>
        <v>#25, EICHINGER / REISS</v>
      </c>
      <c r="J12" s="94"/>
      <c r="K12" s="94"/>
      <c r="L12" s="31" t="str">
        <f>IF(D12="","Winner #38",IF(D12=2,C12,C13))</f>
        <v>#9, HARTEL / SANDNER</v>
      </c>
      <c r="M12" s="31" t="str">
        <f>IF(D12="","Loser #38",IF(D12&lt;2,C12,C13))</f>
        <v>#31, HÖRL / RAUTER</v>
      </c>
    </row>
    <row r="13">
      <c r="C13" s="31" t="str">
        <f>IF(ISERROR(Draws!L25),"Draw 2 / 6",Draws!L25)</f>
        <v>#31, HÖRL / RAUTER</v>
      </c>
      <c r="D13" s="91">
        <f>IF(ISBLANK(E12),"",IF(E12&lt;E13,1,0) + IF(F12&lt;F13,1,0) + IF(G12&lt;G13,1,0))</f>
        <v>0</v>
      </c>
      <c r="E13" s="92">
        <v>11.0</v>
      </c>
      <c r="F13" s="92">
        <v>8.0</v>
      </c>
      <c r="G13" s="91"/>
      <c r="H13" s="93"/>
      <c r="I13" s="91"/>
      <c r="J13" s="94"/>
      <c r="K13" s="94"/>
    </row>
    <row r="14">
      <c r="B14" s="31">
        <v>39.0</v>
      </c>
      <c r="C14" s="31" t="str">
        <f>IF(ISERROR(Draws!L17),"Draw 1 / 7",Draws!L17)</f>
        <v>#2, FÜHRER / SEISER</v>
      </c>
      <c r="D14" s="91">
        <f>IF(ISBLANK(E14),"",IF(E14&gt;E15,1,0) + IF(F14&gt;F15,1,0) + IF(G14&gt;G15,1,0))</f>
        <v>2</v>
      </c>
      <c r="E14" s="92">
        <v>15.0</v>
      </c>
      <c r="F14" s="92">
        <v>15.0</v>
      </c>
      <c r="G14" s="91"/>
      <c r="H14" s="93" t="s">
        <v>247</v>
      </c>
      <c r="I14" s="91" t="str">
        <f>M6</f>
        <v>#16, ZECHA / GRÜNWERTH</v>
      </c>
      <c r="J14" s="94"/>
      <c r="K14" s="94"/>
      <c r="L14" s="31" t="str">
        <f>IF(D14="","Winner #39",IF(D14=2,C14,C15))</f>
        <v>#2, FÜHRER / SEISER</v>
      </c>
      <c r="M14" s="31" t="str">
        <f>IF(D14="","Loser #39",IF(D14&lt;2,C14,C15))</f>
        <v>#22, SCHEBELLA / GRAF</v>
      </c>
    </row>
    <row r="15">
      <c r="C15" s="31" t="str">
        <f>IF(ISERROR(Draws!L26),"Draw 2 / 7",Draws!L26)</f>
        <v>#22, SCHEBELLA / GRAF</v>
      </c>
      <c r="D15" s="91">
        <f>IF(ISBLANK(E14),"",IF(E14&lt;E15,1,0) + IF(F14&lt;F15,1,0) + IF(G14&lt;G15,1,0))</f>
        <v>0</v>
      </c>
      <c r="E15" s="92">
        <v>9.0</v>
      </c>
      <c r="F15" s="92">
        <v>5.0</v>
      </c>
      <c r="G15" s="91"/>
      <c r="H15" s="95"/>
      <c r="I15" s="91"/>
      <c r="J15" s="94"/>
      <c r="K15" s="94"/>
    </row>
    <row r="16">
      <c r="B16" s="31">
        <v>40.0</v>
      </c>
      <c r="C16" s="31" t="str">
        <f>IF(ISERROR(Draws!L18),"Draw 1 / 8",Draws!L18)</f>
        <v>#14, MOROSINI / JOVANOVIĆ</v>
      </c>
      <c r="D16" s="91">
        <f>IF(ISBLANK(E16),"",IF(E16&gt;E17,1,0) + IF(F16&gt;F17,1,0) + IF(G16&gt;G17,1,0))</f>
        <v>0</v>
      </c>
      <c r="E16" s="92">
        <v>8.0</v>
      </c>
      <c r="F16" s="92">
        <v>9.0</v>
      </c>
      <c r="G16" s="91"/>
      <c r="H16" s="93" t="s">
        <v>248</v>
      </c>
      <c r="I16" s="91" t="str">
        <f>M8</f>
        <v>#23, LANGER / SAFTIUK</v>
      </c>
      <c r="J16" s="94"/>
      <c r="K16" s="94"/>
      <c r="L16" s="31" t="str">
        <f>IF(D16="","Winner #40",IF(D16=2,C16,C17))</f>
        <v>#13, BARNABA / HOLEČEK</v>
      </c>
      <c r="M16" s="31" t="str">
        <f>IF(D16="","Loser #40",IF(D16&lt;2,C16,C17))</f>
        <v>#14, MOROSINI / JOVANOVIĆ</v>
      </c>
    </row>
    <row r="17">
      <c r="C17" s="31" t="str">
        <f>IF(ISERROR(Draws!L27),"Draw 2 / 8",Draws!L27)</f>
        <v>#13, BARNABA / HOLEČEK</v>
      </c>
      <c r="D17" s="91">
        <f>IF(ISBLANK(E16),"",IF(E16&lt;E17,1,0) + IF(F16&lt;F17,1,0) + IF(G16&lt;G17,1,0))</f>
        <v>2</v>
      </c>
      <c r="E17" s="92">
        <v>15.0</v>
      </c>
      <c r="F17" s="92">
        <v>15.0</v>
      </c>
      <c r="G17" s="91"/>
      <c r="H17" s="95"/>
      <c r="I17" s="91"/>
      <c r="J17" s="94"/>
      <c r="K17" s="94"/>
    </row>
    <row r="18" ht="15.0" customHeight="1">
      <c r="A18" s="90" t="s">
        <v>302</v>
      </c>
      <c r="B18" s="31">
        <v>41.0</v>
      </c>
      <c r="C18" s="31" t="str">
        <f>IF(ISERROR(Draws!L2),"Seed #1",Draws!L2)</f>
        <v>#1, CSEKÖ / TRAUTH</v>
      </c>
      <c r="D18" s="91">
        <f>IF(ISBLANK(E18),"",IF(E18&gt;E19,1,0) + IF(F18&gt;F19,1,0) + IF(G18&gt;G19,1,0))</f>
        <v>2</v>
      </c>
      <c r="E18" s="92">
        <v>15.0</v>
      </c>
      <c r="F18" s="92">
        <v>16.0</v>
      </c>
      <c r="G18" s="92">
        <v>15.0</v>
      </c>
      <c r="H18" s="93" t="s">
        <v>244</v>
      </c>
      <c r="I18" s="91" t="str">
        <f>M10</f>
        <v>#30, WEISKIRCHNER / STEINMETZ</v>
      </c>
      <c r="J18" s="94"/>
      <c r="K18" s="94"/>
      <c r="L18" s="31" t="str">
        <f>IF(D18="","Winner #41",IF(D18=2,C18,C19))</f>
        <v>#1, CSEKÖ / TRAUTH</v>
      </c>
      <c r="M18" s="31" t="str">
        <f>IF(D18="","Loser #41",IF(D18&lt;2,C18,C19))</f>
        <v>#28, DESSEWFFY / ZABLOUDIL</v>
      </c>
    </row>
    <row r="19">
      <c r="C19" s="31" t="str">
        <f>L2</f>
        <v>#28, DESSEWFFY / ZABLOUDIL</v>
      </c>
      <c r="D19" s="91">
        <f>IF(ISBLANK(E18),"",IF(E18&lt;E19,1,0) + IF(F18&lt;F19,1,0) + IF(G18&lt;G19,1,0))</f>
        <v>1</v>
      </c>
      <c r="E19" s="92">
        <v>6.0</v>
      </c>
      <c r="F19" s="92">
        <v>18.0</v>
      </c>
      <c r="G19" s="92">
        <v>9.0</v>
      </c>
      <c r="H19" s="93"/>
      <c r="I19" s="91"/>
      <c r="J19" s="94"/>
      <c r="K19" s="94"/>
    </row>
    <row r="20">
      <c r="B20" s="31">
        <v>42.0</v>
      </c>
      <c r="C20" s="31" t="str">
        <f>IF(ISERROR(Draws!L9),"Seed #8",Draws!L9)</f>
        <v>#10, JANOTTA / OFNER</v>
      </c>
      <c r="D20" s="91">
        <f>IF(ISBLANK(E20),"",IF(E20&gt;E21,1,0) + IF(F20&gt;F21,1,0) + IF(G20&gt;G21,1,0))</f>
        <v>2</v>
      </c>
      <c r="E20" s="92">
        <v>15.0</v>
      </c>
      <c r="F20" s="92">
        <v>15.0</v>
      </c>
      <c r="G20" s="91"/>
      <c r="H20" s="93" t="s">
        <v>246</v>
      </c>
      <c r="I20" s="91" t="str">
        <f>M12</f>
        <v>#31, HÖRL / RAUTER</v>
      </c>
      <c r="J20" s="94"/>
      <c r="K20" s="94"/>
      <c r="L20" s="31" t="str">
        <f>IF(D20="","Winner #42",IF(D20=2,C20,C21))</f>
        <v>#10, JANOTTA / OFNER</v>
      </c>
      <c r="M20" s="31" t="str">
        <f>IF(D20="","Loser #42",IF(D20&lt;2,C20,C21))</f>
        <v>#20, HOFBAUER / BOHACEK</v>
      </c>
    </row>
    <row r="21" ht="15.75" customHeight="1">
      <c r="C21" s="31" t="str">
        <f>L4</f>
        <v>#20, HOFBAUER / BOHACEK</v>
      </c>
      <c r="D21" s="91">
        <f>IF(ISBLANK(E20),"",IF(E20&lt;E21,1,0) + IF(F20&lt;F21,1,0) + IF(G20&lt;G21,1,0))</f>
        <v>0</v>
      </c>
      <c r="E21" s="92">
        <v>13.0</v>
      </c>
      <c r="F21" s="92">
        <v>9.0</v>
      </c>
      <c r="G21" s="91"/>
      <c r="H21" s="93"/>
      <c r="I21" s="91"/>
      <c r="J21" s="94"/>
      <c r="K21" s="94"/>
    </row>
    <row r="22" ht="15.75" customHeight="1">
      <c r="B22" s="31">
        <v>43.0</v>
      </c>
      <c r="C22" s="31" t="str">
        <f>IF(ISERROR(Draws!L6),"Seed #5",Draws!L6)</f>
        <v>#12, ALBRECHT / HRADECSNI</v>
      </c>
      <c r="D22" s="91">
        <f>IF(ISBLANK(E22),"",IF(E22&gt;E23,1,0) + IF(F22&gt;F23,1,0) + IF(G22&gt;G23,1,0))</f>
        <v>2</v>
      </c>
      <c r="E22" s="92">
        <v>15.0</v>
      </c>
      <c r="F22" s="92">
        <v>15.0</v>
      </c>
      <c r="G22" s="91"/>
      <c r="H22" s="93" t="s">
        <v>247</v>
      </c>
      <c r="I22" s="91" t="str">
        <f>M14</f>
        <v>#22, SCHEBELLA / GRAF</v>
      </c>
      <c r="J22" s="94"/>
      <c r="K22" s="94"/>
      <c r="L22" s="31" t="str">
        <f>IF(D22="","Winner #43",IF(D22=2,C22,C23))</f>
        <v>#12, ALBRECHT / HRADECSNI</v>
      </c>
      <c r="M22" s="31" t="str">
        <f>IF(D22="","Loser #43",IF(D22&lt;2,C22,C23))</f>
        <v>#5, WESP / PFEIFFER</v>
      </c>
    </row>
    <row r="23" ht="15.75" customHeight="1">
      <c r="C23" s="31" t="str">
        <f>L6</f>
        <v>#5, WESP / PFEIFFER</v>
      </c>
      <c r="D23" s="91">
        <f>IF(ISBLANK(E22),"",IF(E22&lt;E23,1,0) + IF(F22&lt;F23,1,0) + IF(G22&lt;G23,1,0))</f>
        <v>0</v>
      </c>
      <c r="E23" s="92">
        <v>10.0</v>
      </c>
      <c r="F23" s="92">
        <v>10.0</v>
      </c>
      <c r="G23" s="91"/>
      <c r="H23" s="95"/>
      <c r="I23" s="91"/>
      <c r="J23" s="94"/>
      <c r="K23" s="94"/>
    </row>
    <row r="24" ht="15.75" customHeight="1">
      <c r="B24" s="31">
        <v>44.0</v>
      </c>
      <c r="C24" s="31" t="str">
        <f>IF(ISERROR(Draws!L5),"Seed #4",Draws!L5)</f>
        <v>#3, LAGZDIŅŠ / SPONER</v>
      </c>
      <c r="D24" s="91">
        <f>IF(ISBLANK(E24),"",IF(E24&gt;E25,1,0) + IF(F24&gt;F25,1,0) + IF(G24&gt;G25,1,0))</f>
        <v>0</v>
      </c>
      <c r="E24" s="92">
        <v>13.0</v>
      </c>
      <c r="F24" s="92">
        <v>7.0</v>
      </c>
      <c r="G24" s="91"/>
      <c r="H24" s="93" t="s">
        <v>248</v>
      </c>
      <c r="I24" s="91" t="str">
        <f>M16</f>
        <v>#14, MOROSINI / JOVANOVIĆ</v>
      </c>
      <c r="J24" s="94"/>
      <c r="K24" s="94"/>
      <c r="L24" s="31" t="str">
        <f>IF(D24="","Winner #44",IF(D24=2,C24,C25))</f>
        <v>#7, HOHENAUER / CARMANN</v>
      </c>
      <c r="M24" s="31" t="str">
        <f>IF(D24="","Loser #44",IF(D24&lt;2,C24,C25))</f>
        <v>#3, LAGZDIŅŠ / SPONER</v>
      </c>
    </row>
    <row r="25" ht="15.75" customHeight="1">
      <c r="C25" s="31" t="str">
        <f>L8</f>
        <v>#7, HOHENAUER / CARMANN</v>
      </c>
      <c r="D25" s="91">
        <f>IF(ISBLANK(E24),"",IF(E24&lt;E25,1,0) + IF(F24&lt;F25,1,0) + IF(G24&lt;G25,1,0))</f>
        <v>2</v>
      </c>
      <c r="E25" s="92">
        <v>15.0</v>
      </c>
      <c r="F25" s="92">
        <v>15.0</v>
      </c>
      <c r="G25" s="91"/>
      <c r="H25" s="95"/>
      <c r="I25" s="91"/>
      <c r="J25" s="94"/>
      <c r="K25" s="94"/>
    </row>
    <row r="26" ht="15.75" customHeight="1">
      <c r="B26" s="31">
        <v>45.0</v>
      </c>
      <c r="C26" s="31" t="str">
        <f>IF(ISERROR(Draws!L4),"Seed #3",Draws!L4)</f>
        <v>#4, LEITNER / EDER</v>
      </c>
      <c r="D26" s="91">
        <f>IF(ISBLANK(E26),"",IF(E26&gt;E27,1,0) + IF(F26&gt;F27,1,0) + IF(G26&gt;G27,1,0))</f>
        <v>2</v>
      </c>
      <c r="E26" s="92">
        <v>16.0</v>
      </c>
      <c r="F26" s="92">
        <v>15.0</v>
      </c>
      <c r="G26" s="92">
        <v>15.0</v>
      </c>
      <c r="H26" s="93" t="s">
        <v>244</v>
      </c>
      <c r="I26" s="91" t="str">
        <f>M18</f>
        <v>#28, DESSEWFFY / ZABLOUDIL</v>
      </c>
      <c r="J26" s="94"/>
      <c r="K26" s="94"/>
      <c r="L26" s="31" t="str">
        <f>IF(D26="","Winner #45",IF(D26=2,C26,C27))</f>
        <v>#4, LEITNER / EDER</v>
      </c>
      <c r="M26" s="31" t="str">
        <f>IF(D26="","Loser #45",IF(D26&lt;2,C26,C27))</f>
        <v>#11, TKACHENKO / KURZMANN</v>
      </c>
    </row>
    <row r="27" ht="15.75" customHeight="1">
      <c r="C27" s="31" t="str">
        <f>L10</f>
        <v>#11, TKACHENKO / KURZMANN</v>
      </c>
      <c r="D27" s="91">
        <f>IF(ISBLANK(E26),"",IF(E26&lt;E27,1,0) + IF(F26&lt;F27,1,0) + IF(G26&lt;G27,1,0))</f>
        <v>1</v>
      </c>
      <c r="E27" s="92">
        <v>18.0</v>
      </c>
      <c r="F27" s="92">
        <v>6.0</v>
      </c>
      <c r="G27" s="92">
        <v>6.0</v>
      </c>
      <c r="H27" s="93"/>
      <c r="I27" s="91"/>
      <c r="J27" s="94"/>
      <c r="K27" s="94"/>
    </row>
    <row r="28" ht="15.75" customHeight="1">
      <c r="B28" s="31">
        <v>46.0</v>
      </c>
      <c r="C28" s="31" t="str">
        <f>IF(ISERROR(Draws!L7),"Seed #6",Draws!L7)</f>
        <v>#6, CUBASCH / NEHULIAIEV</v>
      </c>
      <c r="D28" s="91">
        <f>IF(ISBLANK(E28),"",IF(E28&gt;E29,1,0) + IF(F28&gt;F29,1,0) + IF(G28&gt;G29,1,0))</f>
        <v>1</v>
      </c>
      <c r="E28" s="92">
        <v>14.0</v>
      </c>
      <c r="F28" s="92">
        <v>17.0</v>
      </c>
      <c r="G28" s="92">
        <v>12.0</v>
      </c>
      <c r="H28" s="93" t="s">
        <v>246</v>
      </c>
      <c r="I28" s="91" t="str">
        <f>M20</f>
        <v>#20, HOFBAUER / BOHACEK</v>
      </c>
      <c r="J28" s="94"/>
      <c r="K28" s="94"/>
      <c r="L28" s="31" t="str">
        <f>IF(D28="","Winner #46",IF(D28=2,C28,C29))</f>
        <v>#9, HARTEL / SANDNER</v>
      </c>
      <c r="M28" s="31" t="str">
        <f>IF(D28="","Loser #46",IF(D28&lt;2,C28,C29))</f>
        <v>#6, CUBASCH / NEHULIAIEV</v>
      </c>
    </row>
    <row r="29" ht="15.75" customHeight="1">
      <c r="C29" s="31" t="str">
        <f>L12</f>
        <v>#9, HARTEL / SANDNER</v>
      </c>
      <c r="D29" s="91">
        <f>IF(ISBLANK(E28),"",IF(E28&lt;E29,1,0) + IF(F28&lt;F29,1,0) + IF(G28&lt;G29,1,0))</f>
        <v>2</v>
      </c>
      <c r="E29" s="92">
        <v>16.0</v>
      </c>
      <c r="F29" s="92">
        <v>15.0</v>
      </c>
      <c r="G29" s="92">
        <v>15.0</v>
      </c>
      <c r="H29" s="93"/>
      <c r="I29" s="91"/>
      <c r="J29" s="94"/>
      <c r="K29" s="94"/>
    </row>
    <row r="30" ht="15.75" customHeight="1">
      <c r="B30" s="31">
        <v>47.0</v>
      </c>
      <c r="C30" s="31" t="str">
        <f>IF(ISERROR(Draws!L8),"Seed #7",Draws!L8)</f>
        <v>#8, SCHEUCHER / BAUER</v>
      </c>
      <c r="D30" s="91">
        <f>IF(ISBLANK(E30),"",IF(E30&gt;E31,1,0) + IF(F30&gt;F31,1,0) + IF(G30&gt;G31,1,0))</f>
        <v>0</v>
      </c>
      <c r="E30" s="92">
        <v>11.0</v>
      </c>
      <c r="F30" s="92">
        <v>16.0</v>
      </c>
      <c r="G30" s="91"/>
      <c r="H30" s="93" t="s">
        <v>247</v>
      </c>
      <c r="I30" s="91" t="str">
        <f>M22</f>
        <v>#5, WESP / PFEIFFER</v>
      </c>
      <c r="J30" s="94"/>
      <c r="K30" s="94"/>
      <c r="L30" s="31" t="str">
        <f>IF(D30="","Winner #47",IF(D30=2,C30,C31))</f>
        <v>#2, FÜHRER / SEISER</v>
      </c>
      <c r="M30" s="31" t="str">
        <f>IF(D30="","Loser #47",IF(D30&lt;2,C30,C31))</f>
        <v>#8, SCHEUCHER / BAUER</v>
      </c>
    </row>
    <row r="31" ht="15.75" customHeight="1">
      <c r="C31" s="31" t="str">
        <f>L14</f>
        <v>#2, FÜHRER / SEISER</v>
      </c>
      <c r="D31" s="91">
        <f>IF(ISBLANK(E30),"",IF(E30&lt;E31,1,0) + IF(F30&lt;F31,1,0) + IF(G30&lt;G31,1,0))</f>
        <v>2</v>
      </c>
      <c r="E31" s="92">
        <v>15.0</v>
      </c>
      <c r="F31" s="92">
        <v>18.0</v>
      </c>
      <c r="G31" s="91"/>
      <c r="H31" s="95"/>
      <c r="I31" s="91"/>
      <c r="J31" s="94"/>
      <c r="K31" s="94"/>
    </row>
    <row r="32" ht="15.75" customHeight="1">
      <c r="B32" s="31">
        <v>48.0</v>
      </c>
      <c r="C32" s="31" t="str">
        <f>IF(ISERROR(Draws!L3),"Seed #2",Draws!L3)</f>
        <v>#15, KLAFFINGER / ECKELBACHER</v>
      </c>
      <c r="D32" s="91">
        <f>IF(ISBLANK(E32),"",IF(E32&gt;E33,1,0) + IF(F32&gt;F33,1,0) + IF(G32&gt;G33,1,0))</f>
        <v>2</v>
      </c>
      <c r="E32" s="92">
        <v>15.0</v>
      </c>
      <c r="F32" s="92">
        <v>15.0</v>
      </c>
      <c r="G32" s="91"/>
      <c r="H32" s="93" t="s">
        <v>248</v>
      </c>
      <c r="I32" s="91" t="str">
        <f>M24</f>
        <v>#3, LAGZDIŅŠ / SPONER</v>
      </c>
      <c r="J32" s="94"/>
      <c r="K32" s="94"/>
      <c r="L32" s="31" t="str">
        <f>IF(D32="","Winner #48",IF(D32=2,C32,C33))</f>
        <v>#15, KLAFFINGER / ECKELBACHER</v>
      </c>
      <c r="M32" s="31" t="str">
        <f>IF(D32="","Loser #48",IF(D32&lt;2,C32,C33))</f>
        <v>#13, BARNABA / HOLEČEK</v>
      </c>
    </row>
    <row r="33" ht="15.75" customHeight="1">
      <c r="C33" s="31" t="str">
        <f>L16</f>
        <v>#13, BARNABA / HOLEČEK</v>
      </c>
      <c r="D33" s="91">
        <f>IF(ISBLANK(E32),"",IF(E32&lt;E33,1,0) + IF(F32&lt;F33,1,0) + IF(G32&lt;G33,1,0))</f>
        <v>0</v>
      </c>
      <c r="E33" s="92">
        <v>11.0</v>
      </c>
      <c r="F33" s="92">
        <v>12.0</v>
      </c>
      <c r="G33" s="91"/>
      <c r="H33" s="95"/>
      <c r="I33" s="91"/>
      <c r="J33" s="94"/>
      <c r="K33" s="94"/>
    </row>
    <row r="34" ht="15.75" customHeight="1">
      <c r="A34" s="90" t="s">
        <v>303</v>
      </c>
      <c r="B34" s="31">
        <v>49.0</v>
      </c>
      <c r="C34" s="31" t="str">
        <f>L18</f>
        <v>#1, CSEKÖ / TRAUTH</v>
      </c>
      <c r="D34" s="91">
        <f>IF(ISBLANK(E34),"",IF(E34&gt;E35,1,0) + IF(F34&gt;F35,1,0) + IF(G34&gt;G35,1,0))</f>
        <v>2</v>
      </c>
      <c r="E34" s="92">
        <v>15.0</v>
      </c>
      <c r="F34" s="92">
        <v>15.0</v>
      </c>
      <c r="G34" s="91"/>
      <c r="H34" s="93" t="s">
        <v>244</v>
      </c>
      <c r="I34" s="91" t="str">
        <f>M26</f>
        <v>#11, TKACHENKO / KURZMANN</v>
      </c>
      <c r="J34" s="94"/>
      <c r="K34" s="94"/>
      <c r="L34" s="31" t="str">
        <f>IF(D34="","Winner #49",IF(D34=2,C34,C35))</f>
        <v>#1, CSEKÖ / TRAUTH</v>
      </c>
      <c r="M34" s="31" t="str">
        <f>IF(D34="","Loser #49",IF(D34&lt;2,C34,C35))</f>
        <v>#10, JANOTTA / OFNER</v>
      </c>
    </row>
    <row r="35" ht="15.75" customHeight="1">
      <c r="C35" s="31" t="str">
        <f>L20</f>
        <v>#10, JANOTTA / OFNER</v>
      </c>
      <c r="D35" s="91">
        <f>IF(ISBLANK(E34),"",IF(E34&lt;E35,1,0) + IF(F34&lt;F35,1,0) + IF(G34&lt;G35,1,0))</f>
        <v>0</v>
      </c>
      <c r="E35" s="92">
        <v>9.0</v>
      </c>
      <c r="F35" s="92">
        <v>12.0</v>
      </c>
      <c r="G35" s="91"/>
      <c r="H35" s="93"/>
      <c r="I35" s="91"/>
      <c r="J35" s="94"/>
      <c r="K35" s="94"/>
    </row>
    <row r="36" ht="15.75" customHeight="1">
      <c r="B36" s="31">
        <v>50.0</v>
      </c>
      <c r="C36" s="31" t="str">
        <f>L22</f>
        <v>#12, ALBRECHT / HRADECSNI</v>
      </c>
      <c r="D36" s="91">
        <f>IF(ISBLANK(E36),"",IF(E36&gt;E37,1,0) + IF(F36&gt;F37,1,0) + IF(G36&gt;G37,1,0))</f>
        <v>2</v>
      </c>
      <c r="E36" s="92">
        <v>15.0</v>
      </c>
      <c r="F36" s="92">
        <v>12.0</v>
      </c>
      <c r="G36" s="92">
        <v>15.0</v>
      </c>
      <c r="H36" s="93" t="s">
        <v>246</v>
      </c>
      <c r="I36" s="91" t="str">
        <f>M28</f>
        <v>#6, CUBASCH / NEHULIAIEV</v>
      </c>
      <c r="J36" s="94"/>
      <c r="K36" s="94"/>
      <c r="L36" s="31" t="str">
        <f>IF(D36="","Winner #50",IF(D36=2,C36,C37))</f>
        <v>#12, ALBRECHT / HRADECSNI</v>
      </c>
      <c r="M36" s="31" t="str">
        <f>IF(D36="","Loser #50",IF(D36&lt;2,C36,C37))</f>
        <v>#7, HOHENAUER / CARMANN</v>
      </c>
    </row>
    <row r="37" ht="15.75" customHeight="1">
      <c r="C37" s="31" t="str">
        <f>L24</f>
        <v>#7, HOHENAUER / CARMANN</v>
      </c>
      <c r="D37" s="91">
        <f>IF(ISBLANK(E36),"",IF(E36&lt;E37,1,0) + IF(F36&lt;F37,1,0) + IF(G36&lt;G37,1,0))</f>
        <v>1</v>
      </c>
      <c r="E37" s="92">
        <v>13.0</v>
      </c>
      <c r="F37" s="92">
        <v>15.0</v>
      </c>
      <c r="G37" s="92">
        <v>13.0</v>
      </c>
      <c r="H37" s="93"/>
      <c r="I37" s="91"/>
      <c r="J37" s="94"/>
      <c r="K37" s="94"/>
    </row>
    <row r="38" ht="15.75" customHeight="1">
      <c r="B38" s="31">
        <v>51.0</v>
      </c>
      <c r="C38" s="31" t="str">
        <f>L26</f>
        <v>#4, LEITNER / EDER</v>
      </c>
      <c r="D38" s="91">
        <f>IF(ISBLANK(E38),"",IF(E38&gt;E39,1,0) + IF(F38&gt;F39,1,0) + IF(G38&gt;G39,1,0))</f>
        <v>2</v>
      </c>
      <c r="E38" s="92">
        <v>11.0</v>
      </c>
      <c r="F38" s="92">
        <v>15.0</v>
      </c>
      <c r="G38" s="92">
        <v>15.0</v>
      </c>
      <c r="H38" s="93" t="s">
        <v>247</v>
      </c>
      <c r="I38" s="91" t="str">
        <f>M40</f>
        <v>#15, KLAFFINGER / ECKELBACHER</v>
      </c>
      <c r="J38" s="94"/>
      <c r="K38" s="94"/>
      <c r="L38" s="31" t="str">
        <f>IF(D38="","Winner #51",IF(D38=2,C38,C39))</f>
        <v>#4, LEITNER / EDER</v>
      </c>
      <c r="M38" s="31" t="str">
        <f>IF(D38="","Loser #51",IF(D38&lt;2,C38,C39))</f>
        <v>#9, HARTEL / SANDNER</v>
      </c>
    </row>
    <row r="39" ht="15.75" customHeight="1">
      <c r="C39" s="31" t="str">
        <f>L28</f>
        <v>#9, HARTEL / SANDNER</v>
      </c>
      <c r="D39" s="91">
        <f>IF(ISBLANK(E38),"",IF(E38&lt;E39,1,0) + IF(F38&lt;F39,1,0) + IF(G38&lt;G39,1,0))</f>
        <v>1</v>
      </c>
      <c r="E39" s="92">
        <v>15.0</v>
      </c>
      <c r="F39" s="92">
        <v>13.0</v>
      </c>
      <c r="G39" s="92">
        <v>10.0</v>
      </c>
      <c r="H39" s="95"/>
      <c r="I39" s="91"/>
      <c r="J39" s="94"/>
      <c r="K39" s="94"/>
    </row>
    <row r="40" ht="15.75" customHeight="1">
      <c r="B40" s="31">
        <v>52.0</v>
      </c>
      <c r="C40" s="31" t="str">
        <f>L30</f>
        <v>#2, FÜHRER / SEISER</v>
      </c>
      <c r="D40" s="91">
        <f>IF(ISBLANK(E40),"",IF(E40&gt;E41,1,0) + IF(F40&gt;F41,1,0) + IF(G40&gt;G41,1,0))</f>
        <v>2</v>
      </c>
      <c r="E40" s="92">
        <v>21.0</v>
      </c>
      <c r="F40" s="92">
        <v>15.0</v>
      </c>
      <c r="G40" s="91"/>
      <c r="H40" s="93" t="s">
        <v>247</v>
      </c>
      <c r="I40" s="91" t="str">
        <f>M30</f>
        <v>#8, SCHEUCHER / BAUER</v>
      </c>
      <c r="J40" s="94"/>
      <c r="K40" s="94"/>
      <c r="L40" s="31" t="str">
        <f>IF(D40="","Winner #52",IF(D40=2,C40,C41))</f>
        <v>#2, FÜHRER / SEISER</v>
      </c>
      <c r="M40" s="31" t="str">
        <f>IF(D40="","Loser #52",IF(D40&lt;2,C40,C41))</f>
        <v>#15, KLAFFINGER / ECKELBACHER</v>
      </c>
    </row>
    <row r="41" ht="15.75" customHeight="1">
      <c r="C41" s="31" t="str">
        <f>L32</f>
        <v>#15, KLAFFINGER / ECKELBACHER</v>
      </c>
      <c r="D41" s="91">
        <f>IF(ISBLANK(E40),"",IF(E40&lt;E41,1,0) + IF(F40&lt;F41,1,0) + IF(G40&lt;G41,1,0))</f>
        <v>0</v>
      </c>
      <c r="E41" s="92">
        <v>19.0</v>
      </c>
      <c r="F41" s="92">
        <v>9.0</v>
      </c>
      <c r="G41" s="91"/>
      <c r="H41" s="95"/>
      <c r="I41" s="91"/>
      <c r="J41" s="94"/>
      <c r="K41" s="94"/>
    </row>
    <row r="42" ht="15.0" customHeight="1">
      <c r="A42" s="90" t="s">
        <v>304</v>
      </c>
      <c r="B42" s="31">
        <v>53.0</v>
      </c>
      <c r="C42" s="31" t="str">
        <f>L34</f>
        <v>#1, CSEKÖ / TRAUTH</v>
      </c>
      <c r="D42" s="91">
        <f>IF(ISBLANK(E42),"",IF(E42&gt;E43,1,0) + IF(F42&gt;F43,1,0) + IF(G42&gt;G43,1,0))</f>
        <v>2</v>
      </c>
      <c r="E42" s="92">
        <v>16.0</v>
      </c>
      <c r="F42" s="92">
        <v>15.0</v>
      </c>
      <c r="G42" s="91"/>
      <c r="H42" s="92" t="s">
        <v>246</v>
      </c>
      <c r="I42" s="91" t="str">
        <f>M34</f>
        <v>#10, JANOTTA / OFNER</v>
      </c>
      <c r="J42" s="94"/>
      <c r="K42" s="94"/>
      <c r="L42" s="31" t="str">
        <f>IF(D42="","Winner #53",IF(D42=2,C42,C43))</f>
        <v>#1, CSEKÖ / TRAUTH</v>
      </c>
      <c r="M42" s="31" t="str">
        <f>IF(D42="","Loser #53",IF(D42&lt;2,C42,C43))</f>
        <v>#12, ALBRECHT / HRADECSNI</v>
      </c>
    </row>
    <row r="43" ht="15.75" customHeight="1">
      <c r="C43" s="31" t="str">
        <f>L36</f>
        <v>#12, ALBRECHT / HRADECSNI</v>
      </c>
      <c r="D43" s="91">
        <f>IF(ISBLANK(E42),"",IF(E42&lt;E43,1,0) + IF(F42&lt;F43,1,0) + IF(G42&lt;G43,1,0))</f>
        <v>0</v>
      </c>
      <c r="E43" s="92">
        <v>14.0</v>
      </c>
      <c r="F43" s="92">
        <v>12.0</v>
      </c>
      <c r="G43" s="91"/>
      <c r="H43" s="91"/>
      <c r="I43" s="91"/>
      <c r="J43" s="94"/>
      <c r="K43" s="94"/>
    </row>
    <row r="44" ht="15.75" customHeight="1">
      <c r="B44" s="31">
        <v>54.0</v>
      </c>
      <c r="C44" s="31" t="str">
        <f>L38</f>
        <v>#4, LEITNER / EDER</v>
      </c>
      <c r="D44" s="91">
        <f>IF(ISBLANK(E44),"",IF(E44&gt;E45,1,0) + IF(F44&gt;F45,1,0) + IF(G44&gt;G45,1,0))</f>
        <v>1</v>
      </c>
      <c r="E44" s="92">
        <v>17.0</v>
      </c>
      <c r="F44" s="92">
        <v>9.0</v>
      </c>
      <c r="G44" s="92">
        <v>7.0</v>
      </c>
      <c r="H44" s="92" t="s">
        <v>247</v>
      </c>
      <c r="I44" s="91" t="str">
        <f>M39</f>
        <v/>
      </c>
      <c r="J44" s="94"/>
      <c r="K44" s="94"/>
      <c r="L44" s="31" t="str">
        <f>IF(D44="","Winner #54",IF(D44=2,C44,C45))</f>
        <v>#2, FÜHRER / SEISER</v>
      </c>
      <c r="M44" s="31" t="str">
        <f>IF(D44="","Loser #54",IF(D44&lt;2,C44,C45))</f>
        <v>#4, LEITNER / EDER</v>
      </c>
    </row>
    <row r="45" ht="15.75" customHeight="1">
      <c r="C45" s="31" t="str">
        <f>L40</f>
        <v>#2, FÜHRER / SEISER</v>
      </c>
      <c r="D45" s="91">
        <f>IF(ISBLANK(E44),"",IF(E44&lt;E45,1,0) + IF(F44&lt;F45,1,0) + IF(G44&lt;G45,1,0))</f>
        <v>2</v>
      </c>
      <c r="E45" s="92">
        <v>15.0</v>
      </c>
      <c r="F45" s="92">
        <v>15.0</v>
      </c>
      <c r="G45" s="92">
        <v>15.0</v>
      </c>
      <c r="H45" s="91"/>
      <c r="I45" s="91"/>
      <c r="J45" s="94"/>
      <c r="K45" s="94"/>
    </row>
    <row r="46" ht="15.75" customHeight="1">
      <c r="A46" s="90" t="s">
        <v>305</v>
      </c>
      <c r="B46" s="31">
        <v>55.0</v>
      </c>
      <c r="C46" s="31" t="str">
        <f>M42</f>
        <v>#12, ALBRECHT / HRADECSNI</v>
      </c>
      <c r="D46" s="91">
        <f>IF(ISBLANK(E46),"",IF(E46&gt;E47,1,0) + IF(F46&gt;F47,1,0) + IF(G46&gt;G47,1,0))</f>
        <v>1</v>
      </c>
      <c r="E46" s="92">
        <v>12.0</v>
      </c>
      <c r="F46" s="92">
        <v>16.0</v>
      </c>
      <c r="G46" s="92">
        <v>14.0</v>
      </c>
      <c r="H46" s="92" t="s">
        <v>306</v>
      </c>
      <c r="I46" s="91"/>
      <c r="J46" s="94"/>
      <c r="K46" s="94"/>
      <c r="L46" s="31" t="str">
        <f>IF(D46="","Winner #55",IF(D46=2,C46,C47))</f>
        <v>#4, LEITNER / EDER</v>
      </c>
      <c r="M46" s="31" t="str">
        <f>IF(D46="","Loser #55",IF(D46&lt;2,C46,C47))</f>
        <v>#12, ALBRECHT / HRADECSNI</v>
      </c>
    </row>
    <row r="47" ht="15.75" customHeight="1">
      <c r="C47" s="31" t="str">
        <f>M44</f>
        <v>#4, LEITNER / EDER</v>
      </c>
      <c r="D47" s="91">
        <f>IF(ISBLANK(E46),"",IF(E46&lt;E47,1,0) + IF(F46&lt;F47,1,0) + IF(G46&lt;G47,1,0))</f>
        <v>2</v>
      </c>
      <c r="E47" s="92">
        <v>15.0</v>
      </c>
      <c r="F47" s="92">
        <v>14.0</v>
      </c>
      <c r="G47" s="92">
        <v>16.0</v>
      </c>
      <c r="H47" s="91"/>
      <c r="I47" s="91"/>
      <c r="J47" s="94"/>
      <c r="K47" s="94"/>
    </row>
    <row r="48" ht="15.75" customHeight="1">
      <c r="A48" s="90" t="s">
        <v>307</v>
      </c>
      <c r="B48" s="31">
        <v>56.0</v>
      </c>
      <c r="C48" s="31" t="str">
        <f>L42</f>
        <v>#1, CSEKÖ / TRAUTH</v>
      </c>
      <c r="D48" s="91">
        <f>IF(ISBLANK(E48),"",IF(E48&gt;E49,1,0) + IF(F48&gt;F49,1,0) + IF(G48&gt;G49,1,0))</f>
        <v>2</v>
      </c>
      <c r="E48" s="92">
        <v>15.0</v>
      </c>
      <c r="F48" s="92">
        <v>15.0</v>
      </c>
      <c r="G48" s="91"/>
      <c r="H48" s="92" t="s">
        <v>247</v>
      </c>
      <c r="I48" s="91"/>
      <c r="J48" s="94"/>
      <c r="K48" s="94"/>
      <c r="L48" s="31" t="str">
        <f>IF(D48="","Winner #56",IF(D48=2,C48,C49))</f>
        <v>#1, CSEKÖ / TRAUTH</v>
      </c>
      <c r="M48" s="31" t="str">
        <f>IF(D48="","Loser #56",IF(D48&lt;2,C48,C49))</f>
        <v>#2, FÜHRER / SEISER</v>
      </c>
    </row>
    <row r="49" ht="15.75" customHeight="1">
      <c r="C49" s="31" t="str">
        <f>L44</f>
        <v>#2, FÜHRER / SEISER</v>
      </c>
      <c r="D49" s="91">
        <f>IF(ISBLANK(E48),"",IF(E48&lt;E49,1,0) + IF(F48&lt;F49,1,0) + IF(G48&lt;G49,1,0))</f>
        <v>0</v>
      </c>
      <c r="E49" s="92">
        <v>11.0</v>
      </c>
      <c r="F49" s="92">
        <v>10.0</v>
      </c>
      <c r="G49" s="91"/>
      <c r="H49" s="91"/>
      <c r="I49" s="91"/>
      <c r="J49" s="94"/>
      <c r="K49" s="94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A17"/>
    <mergeCell ref="A18:A33"/>
    <mergeCell ref="A34:A41"/>
    <mergeCell ref="A42:A45"/>
    <mergeCell ref="A46:A47"/>
    <mergeCell ref="A48:A49"/>
  </mergeCells>
  <printOptions/>
  <pageMargins bottom="0.787401575" footer="0.0" header="0.0" left="0.7" right="0.7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29.86"/>
    <col customWidth="1" min="3" max="3" width="25.43"/>
    <col customWidth="1" min="4" max="4" width="26.0"/>
    <col customWidth="1" min="5" max="5" width="27.57"/>
    <col customWidth="1" min="6" max="6" width="25.29"/>
    <col customWidth="1" min="7" max="26" width="16.57"/>
  </cols>
  <sheetData>
    <row r="1" ht="11.25" customHeight="1">
      <c r="A1" s="96" t="s">
        <v>308</v>
      </c>
      <c r="B1" s="96" t="s">
        <v>309</v>
      </c>
      <c r="C1" s="97" t="s">
        <v>310</v>
      </c>
      <c r="D1" s="97" t="s">
        <v>304</v>
      </c>
      <c r="E1" s="98" t="s">
        <v>245</v>
      </c>
      <c r="F1" s="99"/>
    </row>
    <row r="2" ht="11.25" hidden="1" customHeight="1">
      <c r="A2" s="96"/>
      <c r="B2" s="96"/>
      <c r="C2" s="97"/>
      <c r="D2" s="97"/>
      <c r="E2" s="100"/>
      <c r="F2" s="99"/>
    </row>
    <row r="3" ht="11.25" hidden="1" customHeight="1">
      <c r="B3" s="96"/>
      <c r="C3" s="97"/>
      <c r="D3" s="97"/>
      <c r="E3" s="100"/>
      <c r="F3" s="99"/>
    </row>
    <row r="4" ht="11.25" hidden="1" customHeight="1">
      <c r="B4" s="101"/>
      <c r="C4" s="102"/>
      <c r="D4" s="102"/>
      <c r="E4" s="100"/>
      <c r="F4" s="99"/>
    </row>
    <row r="5" ht="11.25" customHeight="1">
      <c r="B5" s="103" t="str">
        <f>ElimMatches!C18</f>
        <v>#1, CSEKÖ / TRAUTH</v>
      </c>
      <c r="C5" s="102"/>
      <c r="D5" s="102"/>
      <c r="E5" s="100"/>
      <c r="F5" s="99"/>
    </row>
    <row r="6" ht="11.25" customHeight="1">
      <c r="B6" s="104"/>
      <c r="C6" s="100"/>
      <c r="D6" s="100"/>
      <c r="E6" s="100"/>
      <c r="F6" s="99"/>
    </row>
    <row r="7" ht="11.25" customHeight="1">
      <c r="A7" s="103" t="str">
        <f>ElimMatches!C2</f>
        <v>#17, NOLL / WEIKERT</v>
      </c>
      <c r="B7" s="105">
        <v>41.0</v>
      </c>
      <c r="C7" s="106" t="str">
        <f>ElimMatches!C34</f>
        <v>#1, CSEKÖ / TRAUTH</v>
      </c>
      <c r="D7" s="100"/>
      <c r="E7" s="100"/>
      <c r="F7" s="99"/>
    </row>
    <row r="8" ht="11.25" customHeight="1">
      <c r="A8" s="104"/>
      <c r="B8" s="107" t="str">
        <f>"("&amp;ElimMatches!D18&amp;" : "&amp;ElimMatches!D19&amp;")"</f>
        <v>(2 : 1)</v>
      </c>
      <c r="C8" s="104"/>
      <c r="D8" s="100"/>
      <c r="E8" s="100"/>
      <c r="F8" s="99"/>
    </row>
    <row r="9" ht="11.25" customHeight="1">
      <c r="A9" s="105">
        <v>33.0</v>
      </c>
      <c r="B9" s="108"/>
      <c r="C9" s="109"/>
      <c r="D9" s="100"/>
      <c r="E9" s="100"/>
      <c r="F9" s="99"/>
    </row>
    <row r="10" ht="11.25" customHeight="1">
      <c r="A10" s="110" t="str">
        <f>"("&amp;ElimMatches!D2&amp;" : "&amp;ElimMatches!D3&amp;")"</f>
        <v>(1 : 2)</v>
      </c>
      <c r="B10" s="102" t="str">
        <f>ElimMatches!C19</f>
        <v>#28, DESSEWFFY / ZABLOUDIL</v>
      </c>
      <c r="C10" s="109"/>
      <c r="D10" s="100"/>
      <c r="E10" s="100"/>
      <c r="F10" s="99"/>
      <c r="I10" s="111"/>
    </row>
    <row r="11" ht="11.25" customHeight="1">
      <c r="A11" s="103" t="str">
        <f>ElimMatches!C3</f>
        <v>#28, DESSEWFFY / ZABLOUDIL</v>
      </c>
      <c r="B11" s="112"/>
      <c r="C11" s="105">
        <v>49.0</v>
      </c>
      <c r="D11" s="106" t="str">
        <f>ElimMatches!C42</f>
        <v>#1, CSEKÖ / TRAUTH</v>
      </c>
      <c r="E11" s="100"/>
      <c r="F11" s="99"/>
      <c r="I11" s="111"/>
    </row>
    <row r="12" ht="11.25" customHeight="1">
      <c r="B12" s="112"/>
      <c r="C12" s="109" t="str">
        <f>"("&amp;ElimMatches!D34&amp;" : "&amp;ElimMatches!D35&amp;")"</f>
        <v>(2 : 0)</v>
      </c>
      <c r="D12" s="104"/>
      <c r="E12" s="100"/>
      <c r="F12" s="99"/>
      <c r="I12" s="111"/>
    </row>
    <row r="13" ht="11.25" customHeight="1">
      <c r="B13" s="103" t="str">
        <f>ElimMatches!C20</f>
        <v>#10, JANOTTA / OFNER</v>
      </c>
      <c r="C13" s="107"/>
      <c r="D13" s="109"/>
      <c r="E13" s="100"/>
      <c r="F13" s="99"/>
      <c r="I13" s="111"/>
    </row>
    <row r="14" ht="11.25" customHeight="1">
      <c r="B14" s="104"/>
      <c r="C14" s="109"/>
      <c r="D14" s="109"/>
      <c r="E14" s="100"/>
      <c r="F14" s="99"/>
      <c r="I14" s="111"/>
    </row>
    <row r="15" ht="11.25" customHeight="1">
      <c r="A15" s="103" t="str">
        <f>ElimMatches!C4</f>
        <v>#20, HOFBAUER / BOHACEK</v>
      </c>
      <c r="B15" s="105">
        <v>42.0</v>
      </c>
      <c r="C15" s="113"/>
      <c r="D15" s="109"/>
      <c r="E15" s="100"/>
      <c r="F15" s="99"/>
      <c r="I15" s="111"/>
    </row>
    <row r="16" ht="11.25" customHeight="1">
      <c r="A16" s="104"/>
      <c r="B16" s="107" t="str">
        <f>"("&amp;ElimMatches!D20&amp;" : "&amp;ElimMatches!D21&amp;")"</f>
        <v>(2 : 0)</v>
      </c>
      <c r="C16" s="114" t="str">
        <f>ElimMatches!C35</f>
        <v>#10, JANOTTA / OFNER</v>
      </c>
      <c r="D16" s="109"/>
      <c r="E16" s="100"/>
      <c r="F16" s="115"/>
      <c r="I16" s="111"/>
    </row>
    <row r="17" ht="11.25" customHeight="1">
      <c r="A17" s="105">
        <v>34.0</v>
      </c>
      <c r="B17" s="108"/>
      <c r="C17" s="100"/>
      <c r="D17" s="109"/>
      <c r="E17" s="100"/>
      <c r="F17" s="97"/>
      <c r="I17" s="111"/>
    </row>
    <row r="18" ht="11.25" customHeight="1">
      <c r="A18" s="110" t="str">
        <f>"("&amp;ElimMatches!D4&amp;" : "&amp;ElimMatches!D5&amp;")"</f>
        <v>(2 : 0)</v>
      </c>
      <c r="B18" s="114" t="str">
        <f>ElimMatches!C21</f>
        <v>#20, HOFBAUER / BOHACEK</v>
      </c>
      <c r="C18" s="100"/>
      <c r="D18" s="116"/>
      <c r="E18" s="100"/>
      <c r="F18" s="99"/>
      <c r="I18" s="111"/>
    </row>
    <row r="19" ht="11.25" customHeight="1">
      <c r="A19" s="103" t="str">
        <f>ElimMatches!C5</f>
        <v>#25, EICHINGER / REISS</v>
      </c>
      <c r="B19" s="112"/>
      <c r="C19" s="100"/>
      <c r="D19" s="105">
        <v>53.0</v>
      </c>
      <c r="E19" s="117" t="str">
        <f>ElimMatches!C48</f>
        <v>#1, CSEKÖ / TRAUTH</v>
      </c>
      <c r="I19" s="111"/>
    </row>
    <row r="20" ht="11.25" customHeight="1">
      <c r="B20" s="112"/>
      <c r="C20" s="100"/>
      <c r="D20" s="109" t="str">
        <f>"("&amp;ElimMatches!D42&amp;" : "&amp;ElimMatches!D43&amp;")"</f>
        <v>(2 : 0)</v>
      </c>
      <c r="E20" s="104"/>
      <c r="F20" s="101"/>
      <c r="I20" s="111"/>
    </row>
    <row r="21" ht="11.25" customHeight="1">
      <c r="B21" s="103" t="str">
        <f>ElimMatches!C22</f>
        <v>#12, ALBRECHT / HRADECSNI</v>
      </c>
      <c r="C21" s="100"/>
      <c r="D21" s="107"/>
      <c r="E21" s="109"/>
      <c r="I21" s="111"/>
    </row>
    <row r="22" ht="11.25" customHeight="1">
      <c r="B22" s="104"/>
      <c r="C22" s="100"/>
      <c r="D22" s="109"/>
      <c r="E22" s="109"/>
      <c r="F22" s="99"/>
      <c r="I22" s="111"/>
    </row>
    <row r="23" ht="11.25" customHeight="1">
      <c r="A23" s="103" t="str">
        <f>ElimMatches!C6</f>
        <v>#5, WESP / PFEIFFER</v>
      </c>
      <c r="B23" s="105">
        <v>43.0</v>
      </c>
      <c r="C23" s="106" t="str">
        <f>ElimMatches!C36</f>
        <v>#12, ALBRECHT / HRADECSNI</v>
      </c>
      <c r="D23" s="109"/>
      <c r="E23" s="109"/>
      <c r="F23" s="99"/>
      <c r="I23" s="111"/>
    </row>
    <row r="24" ht="11.25" customHeight="1">
      <c r="A24" s="104"/>
      <c r="B24" s="107" t="str">
        <f>"("&amp;ElimMatches!D22&amp;" : "&amp;ElimMatches!D23&amp;")"</f>
        <v>(2 : 0)</v>
      </c>
      <c r="C24" s="104"/>
      <c r="D24" s="109"/>
      <c r="E24" s="109"/>
      <c r="F24" s="99"/>
      <c r="I24" s="111"/>
    </row>
    <row r="25" ht="11.25" customHeight="1">
      <c r="A25" s="105">
        <v>35.0</v>
      </c>
      <c r="B25" s="108"/>
      <c r="C25" s="109"/>
      <c r="D25" s="109"/>
      <c r="E25" s="109"/>
      <c r="F25" s="99"/>
      <c r="I25" s="111"/>
    </row>
    <row r="26" ht="11.25" customHeight="1">
      <c r="A26" s="110" t="str">
        <f>"("&amp;ElimMatches!D6&amp;" : "&amp;ElimMatches!D7&amp;")"</f>
        <v>(2 : 0)</v>
      </c>
      <c r="B26" s="114" t="str">
        <f>ElimMatches!C23</f>
        <v>#5, WESP / PFEIFFER</v>
      </c>
      <c r="C26" s="109"/>
      <c r="D26" s="109"/>
      <c r="E26" s="109"/>
      <c r="F26" s="99"/>
      <c r="I26" s="111"/>
    </row>
    <row r="27" ht="11.25" customHeight="1">
      <c r="A27" s="103" t="str">
        <f>ElimMatches!C7</f>
        <v>#16, ZECHA / GRÜNWERTH</v>
      </c>
      <c r="B27" s="112"/>
      <c r="C27" s="105">
        <v>50.0</v>
      </c>
      <c r="D27" s="113"/>
      <c r="E27" s="109"/>
      <c r="F27" s="99"/>
      <c r="I27" s="111"/>
    </row>
    <row r="28" ht="11.25" customHeight="1">
      <c r="B28" s="112"/>
      <c r="C28" s="109" t="str">
        <f>"("&amp;ElimMatches!D36&amp;" : "&amp;ElimMatches!D37&amp;")"</f>
        <v>(2 : 1)</v>
      </c>
      <c r="D28" s="114" t="str">
        <f>ElimMatches!C43</f>
        <v>#12, ALBRECHT / HRADECSNI</v>
      </c>
      <c r="E28" s="109"/>
      <c r="F28" s="99"/>
      <c r="I28" s="111"/>
    </row>
    <row r="29" ht="11.25" customHeight="1">
      <c r="B29" s="103" t="str">
        <f>ElimMatches!C24</f>
        <v>#3, LAGZDIŅŠ / SPONER</v>
      </c>
      <c r="C29" s="107"/>
      <c r="D29" s="100"/>
      <c r="E29" s="109"/>
      <c r="F29" s="99"/>
      <c r="I29" s="111"/>
    </row>
    <row r="30" ht="11.25" customHeight="1">
      <c r="B30" s="104"/>
      <c r="C30" s="109"/>
      <c r="D30" s="100"/>
      <c r="E30" s="116"/>
      <c r="I30" s="111"/>
    </row>
    <row r="31" ht="11.25" customHeight="1">
      <c r="A31" s="103" t="str">
        <f>ElimMatches!C8</f>
        <v>#7, HOHENAUER / CARMANN</v>
      </c>
      <c r="B31" s="105">
        <v>44.0</v>
      </c>
      <c r="C31" s="113"/>
      <c r="D31" s="100"/>
      <c r="E31" s="109"/>
      <c r="F31" s="118"/>
      <c r="I31" s="111"/>
    </row>
    <row r="32" ht="11.25" customHeight="1">
      <c r="A32" s="104"/>
      <c r="B32" s="107" t="str">
        <f>"("&amp;ElimMatches!D24&amp;" : "&amp;ElimMatches!D25&amp;")"</f>
        <v>(0 : 2)</v>
      </c>
      <c r="C32" s="114" t="str">
        <f>ElimMatches!C37</f>
        <v>#7, HOHENAUER / CARMANN</v>
      </c>
      <c r="D32" s="100"/>
      <c r="E32" s="109"/>
      <c r="F32" s="99"/>
      <c r="I32" s="111"/>
    </row>
    <row r="33" ht="11.25" customHeight="1">
      <c r="A33" s="105">
        <v>36.0</v>
      </c>
      <c r="B33" s="108"/>
      <c r="C33" s="100"/>
      <c r="D33" s="100"/>
      <c r="E33" s="109"/>
      <c r="F33" s="119"/>
      <c r="I33" s="111"/>
    </row>
    <row r="34" ht="11.25" customHeight="1">
      <c r="A34" s="110" t="str">
        <f>"("&amp;ElimMatches!D8&amp;" : "&amp;ElimMatches!D9&amp;")"</f>
        <v>(2 : 0)</v>
      </c>
      <c r="B34" s="102" t="str">
        <f>ElimMatches!C25</f>
        <v>#7, HOHENAUER / CARMANN</v>
      </c>
      <c r="C34" s="100"/>
      <c r="D34" s="100"/>
      <c r="E34" s="109"/>
      <c r="F34" s="99"/>
      <c r="I34" s="111"/>
    </row>
    <row r="35" ht="11.25" customHeight="1">
      <c r="A35" s="103" t="str">
        <f>ElimMatches!C9</f>
        <v>#23, LANGER / SAFTIUK</v>
      </c>
      <c r="B35" s="112"/>
      <c r="C35" s="100"/>
      <c r="D35" s="26"/>
      <c r="E35" s="105">
        <v>56.0</v>
      </c>
      <c r="F35" s="120" t="str">
        <f>ElimMatches!L48</f>
        <v>#1, CSEKÖ / TRAUTH</v>
      </c>
      <c r="I35" s="111"/>
    </row>
    <row r="36" ht="11.25" customHeight="1">
      <c r="B36" s="112"/>
      <c r="C36" s="100"/>
      <c r="D36" s="26"/>
      <c r="E36" s="109" t="str">
        <f>"("&amp;ElimMatches!D48&amp;" : "&amp;ElimMatches!D49&amp;")"</f>
        <v>(2 : 0)</v>
      </c>
      <c r="F36" s="121" t="s">
        <v>307</v>
      </c>
      <c r="I36" s="111"/>
    </row>
    <row r="37" ht="11.25" customHeight="1">
      <c r="B37" s="103" t="str">
        <f>ElimMatches!C26</f>
        <v>#4, LEITNER / EDER</v>
      </c>
      <c r="C37" s="100"/>
      <c r="D37" s="100"/>
      <c r="E37" s="109"/>
      <c r="F37" s="99"/>
      <c r="I37" s="111"/>
    </row>
    <row r="38" ht="11.25" customHeight="1">
      <c r="B38" s="104"/>
      <c r="C38" s="100"/>
      <c r="D38" s="100"/>
      <c r="E38" s="109"/>
      <c r="F38" s="99"/>
      <c r="I38" s="111"/>
    </row>
    <row r="39" ht="11.25" customHeight="1">
      <c r="A39" s="103" t="str">
        <f>ElimMatches!C10</f>
        <v>#11, TKACHENKO / KURZMANN</v>
      </c>
      <c r="B39" s="105">
        <v>45.0</v>
      </c>
      <c r="C39" s="106" t="str">
        <f>ElimMatches!C38</f>
        <v>#4, LEITNER / EDER</v>
      </c>
      <c r="D39" s="100"/>
      <c r="E39" s="109"/>
      <c r="F39" s="118"/>
      <c r="I39" s="111"/>
    </row>
    <row r="40" ht="11.25" customHeight="1">
      <c r="A40" s="104"/>
      <c r="B40" s="107" t="str">
        <f>"("&amp;ElimMatches!D26&amp;" : "&amp;ElimMatches!D27&amp;")"</f>
        <v>(2 : 1)</v>
      </c>
      <c r="C40" s="104"/>
      <c r="D40" s="100"/>
      <c r="E40" s="109"/>
      <c r="I40" s="111"/>
    </row>
    <row r="41" ht="11.25" customHeight="1">
      <c r="A41" s="105">
        <v>37.0</v>
      </c>
      <c r="B41" s="108"/>
      <c r="C41" s="109"/>
      <c r="D41" s="100"/>
      <c r="E41" s="109"/>
      <c r="F41" s="99"/>
      <c r="I41" s="111"/>
    </row>
    <row r="42" ht="11.25" customHeight="1">
      <c r="A42" s="110" t="str">
        <f>"("&amp;ElimMatches!D10&amp;" : "&amp;ElimMatches!D11&amp;")"</f>
        <v>(2 : 1)</v>
      </c>
      <c r="B42" s="102" t="str">
        <f>ElimMatches!C27</f>
        <v>#11, TKACHENKO / KURZMANN</v>
      </c>
      <c r="C42" s="109"/>
      <c r="D42" s="100"/>
      <c r="E42" s="109"/>
      <c r="F42" s="99"/>
      <c r="I42" s="111"/>
    </row>
    <row r="43" ht="11.25" customHeight="1">
      <c r="A43" s="103" t="str">
        <f>ElimMatches!C11</f>
        <v>#30, WEISKIRCHNER / STEINMETZ</v>
      </c>
      <c r="B43" s="112"/>
      <c r="C43" s="105">
        <v>51.0</v>
      </c>
      <c r="D43" s="106" t="str">
        <f>ElimMatches!C44</f>
        <v>#4, LEITNER / EDER</v>
      </c>
      <c r="E43" s="109"/>
      <c r="F43" s="99"/>
      <c r="I43" s="111"/>
    </row>
    <row r="44" ht="11.25" customHeight="1">
      <c r="B44" s="112"/>
      <c r="C44" s="109" t="str">
        <f>"("&amp;ElimMatches!D38&amp;" : "&amp;ElimMatches!D39&amp;")"</f>
        <v>(2 : 1)</v>
      </c>
      <c r="D44" s="104"/>
      <c r="E44" s="109"/>
      <c r="F44" s="99"/>
      <c r="I44" s="111"/>
    </row>
    <row r="45" ht="11.25" customHeight="1">
      <c r="B45" s="103" t="str">
        <f>ElimMatches!C28</f>
        <v>#6, CUBASCH / NEHULIAIEV</v>
      </c>
      <c r="C45" s="107"/>
      <c r="D45" s="109"/>
      <c r="E45" s="109"/>
      <c r="F45" s="99"/>
      <c r="I45" s="111"/>
    </row>
    <row r="46" ht="11.25" customHeight="1">
      <c r="B46" s="104"/>
      <c r="C46" s="109"/>
      <c r="D46" s="109"/>
      <c r="E46" s="109"/>
      <c r="F46" s="99"/>
      <c r="I46" s="111"/>
    </row>
    <row r="47" ht="11.25" customHeight="1">
      <c r="A47" s="103" t="str">
        <f>ElimMatches!C12</f>
        <v>#9, HARTEL / SANDNER</v>
      </c>
      <c r="B47" s="105">
        <v>46.0</v>
      </c>
      <c r="C47" s="113"/>
      <c r="D47" s="109"/>
      <c r="E47" s="109"/>
      <c r="F47" s="99"/>
      <c r="I47" s="111"/>
    </row>
    <row r="48" ht="11.25" customHeight="1">
      <c r="A48" s="104"/>
      <c r="B48" s="107" t="str">
        <f>"("&amp;ElimMatches!D28&amp;" : "&amp;ElimMatches!D29&amp;")"</f>
        <v>(1 : 2)</v>
      </c>
      <c r="C48" s="114" t="str">
        <f>ElimMatches!C39</f>
        <v>#9, HARTEL / SANDNER</v>
      </c>
      <c r="D48" s="109"/>
      <c r="E48" s="109"/>
      <c r="F48" s="99"/>
      <c r="I48" s="111"/>
    </row>
    <row r="49" ht="11.25" customHeight="1">
      <c r="A49" s="105">
        <v>38.0</v>
      </c>
      <c r="B49" s="108"/>
      <c r="C49" s="100"/>
      <c r="D49" s="109"/>
      <c r="E49" s="109"/>
      <c r="F49" s="99"/>
      <c r="I49" s="111"/>
    </row>
    <row r="50" ht="11.25" customHeight="1">
      <c r="A50" s="110" t="str">
        <f>"("&amp;ElimMatches!D12&amp;" : "&amp;ElimMatches!D13&amp;")"</f>
        <v>(2 : 0)</v>
      </c>
      <c r="B50" s="114" t="str">
        <f>ElimMatches!C29</f>
        <v>#9, HARTEL / SANDNER</v>
      </c>
      <c r="C50" s="100"/>
      <c r="D50" s="116"/>
      <c r="E50" s="109"/>
      <c r="I50" s="111"/>
    </row>
    <row r="51" ht="11.25" customHeight="1">
      <c r="A51" s="103" t="str">
        <f>ElimMatches!C13</f>
        <v>#31, HÖRL / RAUTER</v>
      </c>
      <c r="B51" s="112"/>
      <c r="C51" s="100"/>
      <c r="D51" s="105">
        <v>54.0</v>
      </c>
      <c r="E51" s="122"/>
      <c r="F51" s="99"/>
      <c r="I51" s="111"/>
    </row>
    <row r="52" ht="11.25" customHeight="1">
      <c r="B52" s="112"/>
      <c r="C52" s="100"/>
      <c r="D52" s="109" t="str">
        <f>"("&amp;ElimMatches!D44&amp;" : "&amp;ElimMatches!D45&amp;")"</f>
        <v>(1 : 2)</v>
      </c>
      <c r="E52" s="114" t="str">
        <f>ElimMatches!C49</f>
        <v>#2, FÜHRER / SEISER</v>
      </c>
      <c r="F52" s="101"/>
      <c r="I52" s="111"/>
    </row>
    <row r="53" ht="11.25" customHeight="1">
      <c r="B53" s="103" t="str">
        <f>ElimMatches!C30</f>
        <v>#8, SCHEUCHER / BAUER</v>
      </c>
      <c r="C53" s="100"/>
      <c r="D53" s="107"/>
      <c r="E53" s="100"/>
      <c r="F53" s="26"/>
      <c r="I53" s="111"/>
    </row>
    <row r="54" ht="11.25" customHeight="1">
      <c r="B54" s="104"/>
      <c r="C54" s="100"/>
      <c r="D54" s="109"/>
      <c r="E54" s="100"/>
      <c r="F54" s="115"/>
      <c r="I54" s="111"/>
    </row>
    <row r="55" ht="11.25" customHeight="1">
      <c r="A55" s="103" t="str">
        <f>ElimMatches!C14</f>
        <v>#2, FÜHRER / SEISER</v>
      </c>
      <c r="B55" s="105">
        <v>47.0</v>
      </c>
      <c r="C55" s="106" t="str">
        <f>ElimMatches!C40</f>
        <v>#2, FÜHRER / SEISER</v>
      </c>
      <c r="D55" s="109"/>
      <c r="E55" s="100"/>
      <c r="F55" s="99"/>
      <c r="I55" s="111"/>
    </row>
    <row r="56" ht="11.25" customHeight="1">
      <c r="A56" s="104"/>
      <c r="B56" s="107" t="str">
        <f>"("&amp;ElimMatches!D30&amp;" : "&amp;ElimMatches!D31&amp;")"</f>
        <v>(0 : 2)</v>
      </c>
      <c r="C56" s="104"/>
      <c r="D56" s="109"/>
      <c r="E56" s="100"/>
      <c r="F56" s="99"/>
      <c r="I56" s="111"/>
    </row>
    <row r="57" ht="11.25" customHeight="1">
      <c r="A57" s="105">
        <v>39.0</v>
      </c>
      <c r="B57" s="108" t="str">
        <f>ElimMatches!C31</f>
        <v>#2, FÜHRER / SEISER</v>
      </c>
      <c r="C57" s="109"/>
      <c r="D57" s="109"/>
      <c r="E57" s="100"/>
      <c r="F57" s="99"/>
      <c r="I57" s="111"/>
    </row>
    <row r="58" ht="11.25" customHeight="1">
      <c r="A58" s="110" t="str">
        <f>"("&amp;ElimMatches!D14&amp;" : "&amp;ElimMatches!D15&amp;")"</f>
        <v>(2 : 0)</v>
      </c>
      <c r="B58" s="114"/>
      <c r="C58" s="109"/>
      <c r="D58" s="109"/>
      <c r="E58" s="100"/>
      <c r="F58" s="99"/>
      <c r="I58" s="111"/>
    </row>
    <row r="59" ht="11.25" customHeight="1">
      <c r="A59" s="103" t="str">
        <f>ElimMatches!C15</f>
        <v>#22, SCHEBELLA / GRAF</v>
      </c>
      <c r="B59" s="112"/>
      <c r="C59" s="105">
        <v>52.0</v>
      </c>
      <c r="D59" s="113"/>
      <c r="E59" s="100"/>
      <c r="F59" s="99"/>
      <c r="I59" s="111"/>
    </row>
    <row r="60" ht="11.25" customHeight="1">
      <c r="B60" s="112"/>
      <c r="C60" s="109" t="str">
        <f>"("&amp;ElimMatches!D40&amp;" : "&amp;ElimMatches!D41&amp;")"</f>
        <v>(2 : 0)</v>
      </c>
      <c r="D60" s="114" t="str">
        <f>ElimMatches!C45</f>
        <v>#2, FÜHRER / SEISER</v>
      </c>
      <c r="E60" s="100"/>
      <c r="F60" s="99"/>
      <c r="I60" s="111"/>
    </row>
    <row r="61" ht="11.25" customHeight="1">
      <c r="B61" s="103" t="str">
        <f>ElimMatches!C32</f>
        <v>#15, KLAFFINGER / ECKELBACHER</v>
      </c>
      <c r="C61" s="107"/>
      <c r="D61" s="100"/>
      <c r="E61" s="99"/>
      <c r="F61" s="99"/>
      <c r="I61" s="111"/>
    </row>
    <row r="62" ht="11.25" customHeight="1">
      <c r="B62" s="104"/>
      <c r="C62" s="109"/>
      <c r="D62" s="100"/>
      <c r="E62" s="99"/>
      <c r="F62" s="99"/>
      <c r="I62" s="111"/>
    </row>
    <row r="63" ht="11.25" customHeight="1">
      <c r="A63" s="103" t="str">
        <f>ElimMatches!C16</f>
        <v>#14, MOROSINI / JOVANOVIĆ</v>
      </c>
      <c r="B63" s="105">
        <v>48.0</v>
      </c>
      <c r="C63" s="113"/>
      <c r="D63" s="100"/>
      <c r="E63" s="103" t="str">
        <f>ElimMatches!C46</f>
        <v>#12, ALBRECHT / HRADECSNI</v>
      </c>
      <c r="F63" s="99"/>
      <c r="I63" s="111"/>
    </row>
    <row r="64" ht="11.25" customHeight="1">
      <c r="A64" s="104"/>
      <c r="B64" s="107" t="str">
        <f>"("&amp;ElimMatches!D32&amp;" : "&amp;ElimMatches!D33&amp;")"</f>
        <v>(2 : 0)</v>
      </c>
      <c r="C64" s="114" t="str">
        <f>ElimMatches!C41</f>
        <v>#15, KLAFFINGER / ECKELBACHER</v>
      </c>
      <c r="D64" s="100"/>
      <c r="E64" s="123" t="str">
        <f>"("&amp;ElimMatches!D46&amp;" : "&amp;ElimMatches!D47&amp;")"</f>
        <v>(1 : 2)</v>
      </c>
      <c r="F64" s="99"/>
      <c r="I64" s="111"/>
    </row>
    <row r="65" ht="11.25" customHeight="1">
      <c r="A65" s="105">
        <v>40.0</v>
      </c>
      <c r="B65" s="108" t="str">
        <f>ElimMatches!C33</f>
        <v>#13, BARNABA / HOLEČEK</v>
      </c>
      <c r="C65" s="100"/>
      <c r="D65" s="100"/>
      <c r="E65" s="105">
        <v>55.0</v>
      </c>
      <c r="F65" s="120" t="str">
        <f>ElimMatches!L46</f>
        <v>#4, LEITNER / EDER</v>
      </c>
      <c r="I65" s="111"/>
    </row>
    <row r="66" ht="11.25" customHeight="1">
      <c r="A66" s="110" t="str">
        <f>"("&amp;ElimMatches!D16&amp;" : "&amp;ElimMatches!D17&amp;")"</f>
        <v>(0 : 2)</v>
      </c>
      <c r="B66" s="102"/>
      <c r="C66" s="100"/>
      <c r="D66" s="100"/>
      <c r="E66" s="108"/>
      <c r="F66" s="121" t="s">
        <v>305</v>
      </c>
      <c r="I66" s="111"/>
    </row>
    <row r="67" ht="11.25" customHeight="1">
      <c r="A67" s="103" t="str">
        <f>ElimMatches!C17</f>
        <v>#13, BARNABA / HOLEČEK</v>
      </c>
      <c r="E67" s="103" t="str">
        <f>ElimMatches!C47</f>
        <v>#4, LEITNER / EDER</v>
      </c>
    </row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8.71"/>
    <col customWidth="1" min="3" max="26" width="10.71"/>
  </cols>
  <sheetData>
    <row r="1" ht="15.0" customHeight="1">
      <c r="A1" s="31" t="s">
        <v>311</v>
      </c>
      <c r="B1" s="31" t="s">
        <v>222</v>
      </c>
      <c r="C1" s="33" t="s">
        <v>245</v>
      </c>
    </row>
    <row r="2">
      <c r="A2" s="31">
        <v>1.0</v>
      </c>
      <c r="B2" s="31" t="str">
        <f>ElimMatches!L48</f>
        <v>#1, CSEKÖ / TRAUTH</v>
      </c>
      <c r="D2" s="124"/>
    </row>
    <row r="3">
      <c r="A3" s="31">
        <v>2.0</v>
      </c>
      <c r="B3" s="31" t="str">
        <f>ElimMatches!M48</f>
        <v>#2, FÜHRER / SEISER</v>
      </c>
      <c r="D3" s="124"/>
    </row>
    <row r="4">
      <c r="A4" s="31">
        <v>3.0</v>
      </c>
      <c r="B4" s="31" t="str">
        <f>ElimMatches!L46</f>
        <v>#4, LEITNER / EDER</v>
      </c>
      <c r="D4" s="124"/>
    </row>
    <row r="5">
      <c r="A5" s="31">
        <v>4.0</v>
      </c>
      <c r="B5" s="31" t="str">
        <f>ElimMatches!M46</f>
        <v>#12, ALBRECHT / HRADECSNI</v>
      </c>
      <c r="D5" s="124"/>
    </row>
    <row r="6">
      <c r="A6" s="31">
        <v>5.0</v>
      </c>
      <c r="B6" s="31" t="str">
        <f>ElimMatches!M34</f>
        <v>#10, JANOTTA / OFNER</v>
      </c>
      <c r="D6" s="124"/>
    </row>
    <row r="7">
      <c r="A7" s="31">
        <v>5.0</v>
      </c>
      <c r="B7" s="31" t="str">
        <f>ElimMatches!M36</f>
        <v>#7, HOHENAUER / CARMANN</v>
      </c>
      <c r="D7" s="124"/>
    </row>
    <row r="8">
      <c r="A8" s="31">
        <v>5.0</v>
      </c>
      <c r="B8" s="31" t="str">
        <f>ElimMatches!M38</f>
        <v>#9, HARTEL / SANDNER</v>
      </c>
      <c r="D8" s="124"/>
    </row>
    <row r="9">
      <c r="A9" s="31">
        <v>5.0</v>
      </c>
      <c r="B9" s="31" t="str">
        <f>ElimMatches!M40</f>
        <v>#15, KLAFFINGER / ECKELBACHER</v>
      </c>
      <c r="D9" s="124"/>
    </row>
    <row r="10">
      <c r="A10" s="31">
        <v>9.0</v>
      </c>
      <c r="B10" s="31" t="str">
        <f>ElimMatches!M18</f>
        <v>#28, DESSEWFFY / ZABLOUDIL</v>
      </c>
    </row>
    <row r="11">
      <c r="A11" s="31">
        <v>9.0</v>
      </c>
      <c r="B11" s="31" t="str">
        <f>ElimMatches!M20</f>
        <v>#20, HOFBAUER / BOHACEK</v>
      </c>
    </row>
    <row r="12">
      <c r="A12" s="31">
        <v>9.0</v>
      </c>
      <c r="B12" s="31" t="str">
        <f>ElimMatches!M22</f>
        <v>#5, WESP / PFEIFFER</v>
      </c>
    </row>
    <row r="13">
      <c r="A13" s="31">
        <v>9.0</v>
      </c>
      <c r="B13" s="31" t="str">
        <f>ElimMatches!M24</f>
        <v>#3, LAGZDIŅŠ / SPONER</v>
      </c>
    </row>
    <row r="14">
      <c r="A14" s="31">
        <v>9.0</v>
      </c>
      <c r="B14" s="31" t="str">
        <f>ElimMatches!M26</f>
        <v>#11, TKACHENKO / KURZMANN</v>
      </c>
    </row>
    <row r="15">
      <c r="A15" s="31">
        <v>9.0</v>
      </c>
      <c r="B15" s="31" t="str">
        <f>ElimMatches!M28</f>
        <v>#6, CUBASCH / NEHULIAIEV</v>
      </c>
    </row>
    <row r="16">
      <c r="A16" s="31">
        <v>9.0</v>
      </c>
      <c r="B16" s="31" t="str">
        <f>ElimMatches!M30</f>
        <v>#8, SCHEUCHER / BAUER</v>
      </c>
    </row>
    <row r="17">
      <c r="A17" s="31">
        <v>9.0</v>
      </c>
      <c r="B17" s="31" t="str">
        <f>ElimMatches!M32</f>
        <v>#13, BARNABA / HOLEČEK</v>
      </c>
    </row>
    <row r="18">
      <c r="A18" s="31">
        <v>17.0</v>
      </c>
      <c r="B18" s="31" t="str">
        <f>ElimMatches!M2</f>
        <v>#17, NOLL / WEIKERT</v>
      </c>
    </row>
    <row r="19">
      <c r="A19" s="31">
        <v>17.0</v>
      </c>
      <c r="B19" s="31" t="str">
        <f>ElimMatches!M4</f>
        <v>#25, EICHINGER / REISS</v>
      </c>
    </row>
    <row r="20">
      <c r="A20" s="31">
        <v>17.0</v>
      </c>
      <c r="B20" s="31" t="str">
        <f>ElimMatches!M6</f>
        <v>#16, ZECHA / GRÜNWERTH</v>
      </c>
    </row>
    <row r="21" ht="15.75" customHeight="1">
      <c r="A21" s="31">
        <v>17.0</v>
      </c>
      <c r="B21" s="31" t="str">
        <f>ElimMatches!M8</f>
        <v>#23, LANGER / SAFTIUK</v>
      </c>
    </row>
    <row r="22" ht="15.75" customHeight="1">
      <c r="A22" s="31">
        <v>17.0</v>
      </c>
      <c r="B22" s="31" t="str">
        <f>ElimMatches!M10</f>
        <v>#30, WEISKIRCHNER / STEINMETZ</v>
      </c>
    </row>
    <row r="23" ht="15.75" customHeight="1">
      <c r="A23" s="31">
        <v>17.0</v>
      </c>
      <c r="B23" s="31" t="str">
        <f>ElimMatches!M12</f>
        <v>#31, HÖRL / RAUTER</v>
      </c>
    </row>
    <row r="24" ht="15.75" customHeight="1">
      <c r="A24" s="31">
        <v>17.0</v>
      </c>
      <c r="B24" s="31" t="str">
        <f>ElimMatches!M14</f>
        <v>#22, SCHEBELLA / GRAF</v>
      </c>
    </row>
    <row r="25" ht="15.75" customHeight="1">
      <c r="A25" s="31">
        <v>17.0</v>
      </c>
      <c r="B25" s="31" t="str">
        <f>ElimMatches!M16</f>
        <v>#14, MOROSINI / JOVANOVIĆ</v>
      </c>
    </row>
    <row r="26" ht="15.75" customHeight="1">
      <c r="A26" s="31">
        <v>25.0</v>
      </c>
      <c r="B26" s="31" t="str">
        <f>Draws!B29</f>
        <v>#32, FLECHL / OELSCHLÄGEL</v>
      </c>
    </row>
    <row r="27" ht="15.75" customHeight="1">
      <c r="A27" s="31">
        <v>25.0</v>
      </c>
      <c r="B27" s="31" t="str">
        <f>Draws!B30</f>
        <v>#18, KACZMARCZYK / GRAM</v>
      </c>
    </row>
    <row r="28" ht="15.75" customHeight="1">
      <c r="A28" s="31">
        <v>25.0</v>
      </c>
      <c r="B28" s="31" t="str">
        <f>Draws!B31</f>
        <v>#19, SUN / LAKOMY</v>
      </c>
    </row>
    <row r="29" ht="15.75" customHeight="1">
      <c r="A29" s="31">
        <v>25.0</v>
      </c>
      <c r="B29" s="31" t="str">
        <f>Draws!B32</f>
        <v>#29, CHLUP / FREITTER</v>
      </c>
    </row>
    <row r="30" ht="15.75" customHeight="1">
      <c r="A30" s="31">
        <v>25.0</v>
      </c>
      <c r="B30" s="31" t="str">
        <f>Draws!B33</f>
        <v>#21, JOBST / GAPPNIG</v>
      </c>
    </row>
    <row r="31" ht="15.75" customHeight="1">
      <c r="A31" s="31">
        <v>25.0</v>
      </c>
      <c r="B31" s="31" t="str">
        <f>Draws!B34</f>
        <v>#27, MALICKI / FLORIÁN</v>
      </c>
    </row>
    <row r="32" ht="15.75" customHeight="1">
      <c r="A32" s="31">
        <v>25.0</v>
      </c>
      <c r="B32" s="31" t="str">
        <f>Draws!B35</f>
        <v>#26, TIWALD / ALTENRIEDERER</v>
      </c>
    </row>
    <row r="33" ht="15.75" customHeight="1">
      <c r="A33" s="31">
        <v>25.0</v>
      </c>
      <c r="B33" s="31" t="str">
        <f>Draws!B36</f>
        <v>#24, LEPIC / VUKOVIC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2019-09-11T08:38:26Z</dcterms:created>
  <dc:creator>Christian Lick</dc:creator>
</cp:coreProperties>
</file>